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8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9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20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21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3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4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Linear Algebra/"/>
    </mc:Choice>
  </mc:AlternateContent>
  <xr:revisionPtr revIDLastSave="90" documentId="8_{1E329ED8-5A34-4B8A-AEA8-FAD14B58ABDF}" xr6:coauthVersionLast="47" xr6:coauthVersionMax="47" xr10:uidLastSave="{49B1A6CA-4115-4ACE-B810-5495562E2E41}"/>
  <bookViews>
    <workbookView xWindow="0" yWindow="84" windowWidth="12468" windowHeight="12156" firstSheet="14" activeTab="20" xr2:uid="{D0DDB247-281B-413F-ABD5-BB1F336361FB}"/>
  </bookViews>
  <sheets>
    <sheet name="Fig.4.1.1-4.1.2" sheetId="2" r:id="rId1"/>
    <sheet name="Fig.4.1.3-4.1.6" sheetId="4" r:id="rId2"/>
    <sheet name="Fig.4.1.7-4.1.9" sheetId="5" r:id="rId3"/>
    <sheet name="Fig.4.2.2-4.2.10" sheetId="6" r:id="rId4"/>
    <sheet name="Fig.4.2.11-4.2.13" sheetId="7" r:id="rId5"/>
    <sheet name="Fig.4.3.1-4.3.2" sheetId="8" r:id="rId6"/>
    <sheet name="Fig.4.4.4-4.4.8" sheetId="9" r:id="rId7"/>
    <sheet name="Fig.4.4.9" sheetId="10" r:id="rId8"/>
    <sheet name="Fig.4.4.10-4.4.14" sheetId="11" r:id="rId9"/>
    <sheet name="Fig.4.4.15-4.4.16" sheetId="12" r:id="rId10"/>
    <sheet name="Fig.4.4.17" sheetId="13" r:id="rId11"/>
    <sheet name="Fig.4.4.18" sheetId="14" r:id="rId12"/>
    <sheet name="Fig.4.4.19-4.4.21" sheetId="15" r:id="rId13"/>
    <sheet name="Fig.4.5.1-4.5.3" sheetId="33" r:id="rId14"/>
    <sheet name="Fig.4.5.4-4.5.5" sheetId="34" r:id="rId15"/>
    <sheet name="Fig.4.5.6" sheetId="35" r:id="rId16"/>
    <sheet name="Fig.4.6.1-4.6.3" sheetId="19" r:id="rId17"/>
    <sheet name="Fig.4.6.4-4.6.8" sheetId="20" r:id="rId18"/>
    <sheet name="MDS alt" sheetId="21" r:id="rId19"/>
    <sheet name="Fig.4.7.2-4.7.3" sheetId="22" r:id="rId20"/>
    <sheet name="Fig.4.7.4-4.7.9" sheetId="36" r:id="rId21"/>
    <sheet name="Fig.4.7.10" sheetId="24" r:id="rId22"/>
    <sheet name="Fig.4.8.1" sheetId="25" r:id="rId23"/>
    <sheet name="Fig.4.8.2-4.8.3" sheetId="37" r:id="rId24"/>
    <sheet name="Fig.4.8.4-4.8.9" sheetId="38" r:id="rId25"/>
    <sheet name="SSA Alt Coeff" sheetId="28" r:id="rId26"/>
    <sheet name="Fig.4.9.1-4.9.3" sheetId="29" r:id="rId27"/>
    <sheet name="Fig.4.9.4-4.9.5" sheetId="39" r:id="rId28"/>
    <sheet name="Fig.4.9.6-4.9.8" sheetId="31" r:id="rId29"/>
    <sheet name="F-W-L theorem" sheetId="32" r:id="rId30"/>
  </sheets>
  <externalReferences>
    <externalReference r:id="rId31"/>
    <externalReference r:id="rId32"/>
    <externalReference r:id="rId33"/>
    <externalReference r:id="rId3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  <definedName name="solver_adj" localSheetId="13" hidden="1">'Fig.4.5.1-4.5.3'!$T$22:$T$25</definedName>
    <definedName name="solver_cvg" localSheetId="13" hidden="1">0.0001</definedName>
    <definedName name="solver_drv" localSheetId="13" hidden="1">2</definedName>
    <definedName name="solver_eng" localSheetId="13" hidden="1">3</definedName>
    <definedName name="solver_est" localSheetId="13" hidden="1">1</definedName>
    <definedName name="solver_itr" localSheetId="13" hidden="1">2147483647</definedName>
    <definedName name="solver_lhs0" localSheetId="13" hidden="1">'Fig.4.5.1-4.5.3'!$T$22:$T$25</definedName>
    <definedName name="solver_lhs1" localSheetId="13" hidden="1">'Fig.4.5.1-4.5.3'!$T$22:$T$25</definedName>
    <definedName name="solver_lhs2" localSheetId="13" hidden="1">'Fig.4.5.1-4.5.3'!$T$22:$T$25</definedName>
    <definedName name="solver_lhs3" localSheetId="13" hidden="1">'Fig.4.5.1-4.5.3'!$T$22:$T$25</definedName>
    <definedName name="solver_mip" localSheetId="13" hidden="1">2147483647</definedName>
    <definedName name="solver_mni" localSheetId="13" hidden="1">30</definedName>
    <definedName name="solver_mrt" localSheetId="13" hidden="1">0.075</definedName>
    <definedName name="solver_msl" localSheetId="13" hidden="1">2</definedName>
    <definedName name="solver_neg" localSheetId="13" hidden="1">1</definedName>
    <definedName name="solver_nod" localSheetId="13" hidden="1">2147483647</definedName>
    <definedName name="solver_num" localSheetId="13" hidden="1">3</definedName>
    <definedName name="solver_nwt" localSheetId="13" hidden="1">1</definedName>
    <definedName name="solver_opt" localSheetId="13" hidden="1">'Fig.4.5.1-4.5.3'!$AD$24</definedName>
    <definedName name="solver_pre" localSheetId="13" hidden="1">0.000001</definedName>
    <definedName name="solver_rbv" localSheetId="13" hidden="1">2</definedName>
    <definedName name="solver_rel0" localSheetId="13" hidden="1">4</definedName>
    <definedName name="solver_rel1" localSheetId="13" hidden="1">1</definedName>
    <definedName name="solver_rel2" localSheetId="13" hidden="1">4</definedName>
    <definedName name="solver_rel3" localSheetId="13" hidden="1">3</definedName>
    <definedName name="solver_rhs0" localSheetId="13" hidden="1">"integer"</definedName>
    <definedName name="solver_rhs1" localSheetId="13" hidden="1">15</definedName>
    <definedName name="solver_rhs2" localSheetId="13" hidden="1">"integer"</definedName>
    <definedName name="solver_rhs3" localSheetId="13" hidden="1">1</definedName>
    <definedName name="solver_rlx" localSheetId="13" hidden="1">2</definedName>
    <definedName name="solver_rsd" localSheetId="13" hidden="1">0</definedName>
    <definedName name="solver_scl" localSheetId="13" hidden="1">2</definedName>
    <definedName name="solver_sho" localSheetId="13" hidden="1">2</definedName>
    <definedName name="solver_ssz" localSheetId="13" hidden="1">100</definedName>
    <definedName name="solver_tim" localSheetId="13" hidden="1">2147483647</definedName>
    <definedName name="solver_tol" localSheetId="13" hidden="1">0.01</definedName>
    <definedName name="solver_typ" localSheetId="13" hidden="1">2</definedName>
    <definedName name="solver_val" localSheetId="13" hidden="1">0</definedName>
    <definedName name="solver_ver" localSheetId="13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2" i="38" l="1"/>
  <c r="F2" i="38" s="1" a="1"/>
  <c r="F2" i="38" s="1"/>
  <c r="C3" i="38"/>
  <c r="F3" i="38" a="1"/>
  <c r="F3" i="38"/>
  <c r="I3" i="38" a="1"/>
  <c r="I3" i="38" s="1"/>
  <c r="M3" i="38" a="1"/>
  <c r="M3" i="38" s="1"/>
  <c r="Q3" i="38" a="1"/>
  <c r="Q3" i="38" s="1"/>
  <c r="C4" i="38"/>
  <c r="H2" i="38" s="1" a="1"/>
  <c r="H2" i="38" s="1"/>
  <c r="G4" i="38" a="1"/>
  <c r="G4" i="38" s="1"/>
  <c r="I4" i="38" a="1"/>
  <c r="I4" i="38"/>
  <c r="M4" i="38" a="1"/>
  <c r="M4" i="38"/>
  <c r="AK4" i="38"/>
  <c r="C5" i="38"/>
  <c r="I2" i="38" s="1" a="1"/>
  <c r="I2" i="38" s="1"/>
  <c r="G5" i="38" a="1"/>
  <c r="G5" i="38" s="1"/>
  <c r="I5" i="38" a="1"/>
  <c r="I5" i="38"/>
  <c r="M5" i="38" a="1"/>
  <c r="M5" i="38"/>
  <c r="AK5" i="38"/>
  <c r="C6" i="38"/>
  <c r="J2" i="38" s="1" a="1"/>
  <c r="J2" i="38" s="1"/>
  <c r="G6" i="38" a="1"/>
  <c r="G6" i="38" s="1"/>
  <c r="I6" i="38" a="1"/>
  <c r="I6" i="38"/>
  <c r="K6" i="38" a="1"/>
  <c r="K6" i="38" s="1"/>
  <c r="M6" i="38" a="1"/>
  <c r="M6" i="38"/>
  <c r="AK6" i="38"/>
  <c r="C7" i="38"/>
  <c r="K2" i="38" s="1" a="1"/>
  <c r="K2" i="38" s="1"/>
  <c r="G7" i="38" a="1"/>
  <c r="G7" i="38" s="1"/>
  <c r="I7" i="38" a="1"/>
  <c r="I7" i="38"/>
  <c r="K7" i="38" a="1"/>
  <c r="K7" i="38" s="1"/>
  <c r="M7" i="38" a="1"/>
  <c r="M7" i="38"/>
  <c r="AK7" i="38"/>
  <c r="C8" i="38"/>
  <c r="L2" i="38" s="1" a="1"/>
  <c r="L2" i="38" s="1"/>
  <c r="G8" i="38" a="1"/>
  <c r="G8" i="38" s="1"/>
  <c r="I8" i="38" a="1"/>
  <c r="I8" i="38"/>
  <c r="K8" i="38" a="1"/>
  <c r="K8" i="38" s="1"/>
  <c r="AK8" i="38"/>
  <c r="C9" i="38"/>
  <c r="M2" i="38" s="1" a="1"/>
  <c r="M2" i="38" s="1"/>
  <c r="G9" i="38" a="1"/>
  <c r="G9" i="38" s="1"/>
  <c r="I9" i="38" a="1"/>
  <c r="I9" i="38"/>
  <c r="K9" i="38" a="1"/>
  <c r="K9" i="38" s="1"/>
  <c r="AK9" i="38"/>
  <c r="C10" i="38"/>
  <c r="N2" i="38" s="1" a="1"/>
  <c r="N2" i="38" s="1"/>
  <c r="G10" i="38" a="1"/>
  <c r="G10" i="38" s="1"/>
  <c r="I10" i="38" a="1"/>
  <c r="I10" i="38" s="1"/>
  <c r="AK10" i="38"/>
  <c r="C11" i="38"/>
  <c r="O2" i="38" s="1" a="1"/>
  <c r="O2" i="38" s="1"/>
  <c r="G11" i="38" a="1"/>
  <c r="G11" i="38" s="1"/>
  <c r="I11" i="38" a="1"/>
  <c r="I11" i="38" s="1"/>
  <c r="AK11" i="38"/>
  <c r="C12" i="38"/>
  <c r="P2" i="38" s="1" a="1"/>
  <c r="P2" i="38" s="1"/>
  <c r="G12" i="38" a="1"/>
  <c r="G12" i="38" s="1"/>
  <c r="AK12" i="38"/>
  <c r="C13" i="38"/>
  <c r="Q2" i="38" s="1" a="1"/>
  <c r="Q2" i="38" s="1"/>
  <c r="F13" i="38" a="1"/>
  <c r="F13" i="38" s="1"/>
  <c r="G13" i="38" a="1"/>
  <c r="G13" i="38" s="1"/>
  <c r="AK13" i="38"/>
  <c r="C14" i="38"/>
  <c r="R2" i="38" s="1" a="1"/>
  <c r="R2" i="38" s="1"/>
  <c r="I15" i="39" a="1"/>
  <c r="I33" i="39"/>
  <c r="R33" i="39"/>
  <c r="I20" i="39"/>
  <c r="I12" i="39"/>
  <c r="F14" i="38"/>
  <c r="I23" i="39" a="1"/>
  <c r="T14" i="38"/>
  <c r="O20" i="39"/>
  <c r="O33" i="39"/>
  <c r="I2" i="39" a="1"/>
  <c r="I15" i="39" l="1"/>
  <c r="I23" i="39"/>
  <c r="I2" i="39"/>
  <c r="O5" i="38" a="1"/>
  <c r="O5" i="38" s="1"/>
  <c r="K5" i="38" a="1"/>
  <c r="K5" i="38" s="1"/>
  <c r="O4" i="38" a="1"/>
  <c r="O4" i="38" s="1"/>
  <c r="K4" i="38" a="1"/>
  <c r="K4" i="38" s="1"/>
  <c r="N3" i="38" a="1"/>
  <c r="N3" i="38" s="1"/>
  <c r="J3" i="38" a="1"/>
  <c r="J3" i="38" s="1"/>
  <c r="F12" i="38" a="1"/>
  <c r="F12" i="38" s="1"/>
  <c r="F11" i="38" a="1"/>
  <c r="F11" i="38" s="1"/>
  <c r="J10" i="38" a="1"/>
  <c r="J10" i="38" s="1"/>
  <c r="F10" i="38" a="1"/>
  <c r="F10" i="38" s="1"/>
  <c r="J9" i="38" a="1"/>
  <c r="J9" i="38" s="1"/>
  <c r="F9" i="38" a="1"/>
  <c r="F9" i="38" s="1"/>
  <c r="J8" i="38" a="1"/>
  <c r="J8" i="38" s="1"/>
  <c r="F8" i="38" a="1"/>
  <c r="F8" i="38" s="1"/>
  <c r="J7" i="38" a="1"/>
  <c r="J7" i="38" s="1"/>
  <c r="F7" i="38" a="1"/>
  <c r="F7" i="38" s="1"/>
  <c r="N6" i="38" a="1"/>
  <c r="N6" i="38" s="1"/>
  <c r="J6" i="38" a="1"/>
  <c r="J6" i="38" s="1"/>
  <c r="F6" i="38" a="1"/>
  <c r="F6" i="38" s="1"/>
  <c r="N5" i="38" a="1"/>
  <c r="N5" i="38" s="1"/>
  <c r="J5" i="38" a="1"/>
  <c r="J5" i="38" s="1"/>
  <c r="F5" i="38" a="1"/>
  <c r="F5" i="38" s="1"/>
  <c r="N4" i="38" a="1"/>
  <c r="N4" i="38" s="1"/>
  <c r="J4" i="38" a="1"/>
  <c r="J4" i="38" s="1"/>
  <c r="F4" i="38" a="1"/>
  <c r="F4" i="38" s="1"/>
  <c r="G2" i="38" a="1"/>
  <c r="G2" i="38" s="1"/>
  <c r="P3" i="38" a="1"/>
  <c r="P3" i="38" s="1"/>
  <c r="L3" i="38" a="1"/>
  <c r="L3" i="38" s="1"/>
  <c r="H3" i="38" a="1"/>
  <c r="H3" i="38" s="1"/>
  <c r="H11" i="38" a="1"/>
  <c r="H11" i="38" s="1"/>
  <c r="H9" i="38" a="1"/>
  <c r="H9" i="38" s="1"/>
  <c r="L8" i="38" a="1"/>
  <c r="L8" i="38" s="1"/>
  <c r="H8" i="38" a="1"/>
  <c r="H8" i="38" s="1"/>
  <c r="L7" i="38" a="1"/>
  <c r="L7" i="38" s="1"/>
  <c r="H7" i="38" a="1"/>
  <c r="H7" i="38" s="1"/>
  <c r="L6" i="38" a="1"/>
  <c r="L6" i="38" s="1"/>
  <c r="H6" i="38" a="1"/>
  <c r="H6" i="38" s="1"/>
  <c r="L5" i="38" a="1"/>
  <c r="L5" i="38" s="1"/>
  <c r="H5" i="38" a="1"/>
  <c r="H5" i="38" s="1"/>
  <c r="P4" i="38" a="1"/>
  <c r="P4" i="38" s="1"/>
  <c r="L4" i="38" a="1"/>
  <c r="L4" i="38" s="1"/>
  <c r="H4" i="38" a="1"/>
  <c r="H4" i="38" s="1"/>
  <c r="H12" i="38" a="1"/>
  <c r="H12" i="38" s="1"/>
  <c r="H10" i="38" a="1"/>
  <c r="H10" i="38" s="1"/>
  <c r="O3" i="38" a="1"/>
  <c r="O3" i="38" s="1"/>
  <c r="K3" i="38" a="1"/>
  <c r="K3" i="38" s="1"/>
  <c r="G3" i="38" a="1"/>
  <c r="G3" i="38" s="1"/>
  <c r="AK14" i="38"/>
  <c r="C15" i="38"/>
  <c r="AK15" i="38"/>
  <c r="C16" i="38"/>
  <c r="AK16" i="38"/>
  <c r="C17" i="38"/>
  <c r="O15" i="39" l="1" a="1"/>
  <c r="O15" i="39" s="1"/>
  <c r="O23" i="39" s="1" a="1"/>
  <c r="O23" i="39" s="1"/>
  <c r="R23" i="39" s="1" a="1"/>
  <c r="R23" i="39" s="1"/>
  <c r="L11" i="38" a="1"/>
  <c r="L11" i="38" s="1"/>
  <c r="P7" i="38" a="1"/>
  <c r="P7" i="38" s="1"/>
  <c r="Q6" i="38" a="1"/>
  <c r="Q6" i="38" s="1"/>
  <c r="M10" i="38" a="1"/>
  <c r="M10" i="38" s="1"/>
  <c r="R5" i="38" a="1"/>
  <c r="R5" i="38" s="1"/>
  <c r="N9" i="38" a="1"/>
  <c r="N9" i="38" s="1"/>
  <c r="J13" i="38" a="1"/>
  <c r="J13" i="38" s="1"/>
  <c r="O8" i="38" a="1"/>
  <c r="O8" i="38" s="1"/>
  <c r="K12" i="38" a="1"/>
  <c r="K12" i="38" s="1"/>
  <c r="L9" i="38" a="1"/>
  <c r="L9" i="38" s="1"/>
  <c r="I12" i="38" a="1"/>
  <c r="I12" i="38" s="1"/>
  <c r="P5" i="38" a="1"/>
  <c r="P5" i="38" s="1"/>
  <c r="H13" i="38" a="1"/>
  <c r="H13" i="38" s="1"/>
  <c r="Q4" i="38" a="1"/>
  <c r="Q4" i="38" s="1"/>
  <c r="N7" i="38" a="1"/>
  <c r="N7" i="38" s="1"/>
  <c r="J11" i="38" a="1"/>
  <c r="J11" i="38" s="1"/>
  <c r="R3" i="38" a="1"/>
  <c r="R3" i="38" s="1"/>
  <c r="O6" i="38" a="1"/>
  <c r="O6" i="38" s="1"/>
  <c r="K10" i="38" a="1"/>
  <c r="K10" i="38" s="1"/>
  <c r="M8" i="38" a="1"/>
  <c r="M8" i="38" s="1"/>
  <c r="I13" i="38" a="1"/>
  <c r="I13" i="38" s="1"/>
  <c r="P6" i="38" a="1"/>
  <c r="P6" i="38" s="1"/>
  <c r="L10" i="38" a="1"/>
  <c r="L10" i="38" s="1"/>
  <c r="Q5" i="38" a="1"/>
  <c r="Q5" i="38" s="1"/>
  <c r="M9" i="38" a="1"/>
  <c r="M9" i="38" s="1"/>
  <c r="R4" i="38" a="1"/>
  <c r="R4" i="38" s="1"/>
  <c r="N8" i="38" a="1"/>
  <c r="N8" i="38" s="1"/>
  <c r="J12" i="38" a="1"/>
  <c r="J12" i="38" s="1"/>
  <c r="O7" i="38" a="1"/>
  <c r="O7" i="38" s="1"/>
  <c r="K11" i="38" a="1"/>
  <c r="K11" i="38" s="1"/>
  <c r="AK17" i="38"/>
  <c r="C18" i="38"/>
  <c r="I1" i="38" s="1"/>
  <c r="M1" i="38" s="1"/>
  <c r="AK18" i="38"/>
  <c r="C19" i="38"/>
  <c r="AK19" i="38"/>
  <c r="C20" i="38"/>
  <c r="AK20" i="38"/>
  <c r="C21" i="38"/>
  <c r="AK21" i="38"/>
  <c r="C22" i="38"/>
  <c r="AK22" i="38"/>
  <c r="C23" i="38"/>
  <c r="AK23" i="38"/>
  <c r="C24" i="38"/>
  <c r="AK24" i="38"/>
  <c r="C25" i="38"/>
  <c r="R13" i="38" s="1" a="1"/>
  <c r="R13" i="38" s="1"/>
  <c r="E25" i="38"/>
  <c r="P11" i="38" l="1" a="1"/>
  <c r="P11" i="38" s="1"/>
  <c r="Q10" i="38" a="1"/>
  <c r="Q10" i="38" s="1"/>
  <c r="R9" i="38" a="1"/>
  <c r="R9" i="38" s="1"/>
  <c r="N13" i="38" a="1"/>
  <c r="N13" i="38" s="1"/>
  <c r="O12" i="38" a="1"/>
  <c r="O12" i="38" s="1"/>
  <c r="P10" i="38" a="1"/>
  <c r="P10" i="38" s="1"/>
  <c r="Q9" i="38" a="1"/>
  <c r="Q9" i="38" s="1"/>
  <c r="M13" i="38" a="1"/>
  <c r="M13" i="38" s="1"/>
  <c r="R8" i="38" a="1"/>
  <c r="R8" i="38" s="1"/>
  <c r="N12" i="38" a="1"/>
  <c r="N12" i="38" s="1"/>
  <c r="O11" i="38" a="1"/>
  <c r="O11" i="38" s="1"/>
  <c r="L13" i="38" a="1"/>
  <c r="L13" i="38" s="1"/>
  <c r="P9" i="38" a="1"/>
  <c r="P9" i="38" s="1"/>
  <c r="Q8" i="38" a="1"/>
  <c r="Q8" i="38" s="1"/>
  <c r="R7" i="38" a="1"/>
  <c r="R7" i="38" s="1"/>
  <c r="N11" i="38" a="1"/>
  <c r="N11" i="38" s="1"/>
  <c r="M12" i="38" a="1"/>
  <c r="M12" i="38" s="1"/>
  <c r="O10" i="38" a="1"/>
  <c r="O10" i="38" s="1"/>
  <c r="P8" i="38" a="1"/>
  <c r="P8" i="38" s="1"/>
  <c r="L12" i="38" a="1"/>
  <c r="L12" i="38" s="1"/>
  <c r="M11" i="38" a="1"/>
  <c r="M11" i="38" s="1"/>
  <c r="Q7" i="38" a="1"/>
  <c r="Q7" i="38" s="1"/>
  <c r="R6" i="38" a="1"/>
  <c r="R6" i="38" s="1"/>
  <c r="N10" i="38" a="1"/>
  <c r="N10" i="38" s="1"/>
  <c r="O9" i="38" a="1"/>
  <c r="O9" i="38" s="1"/>
  <c r="K13" i="38" a="1"/>
  <c r="K13" i="38" s="1"/>
  <c r="Q13" i="38" a="1"/>
  <c r="Q13" i="38" s="1"/>
  <c r="R12" i="38" a="1"/>
  <c r="R12" i="38" s="1"/>
  <c r="Q12" i="38" a="1"/>
  <c r="Q12" i="38" s="1"/>
  <c r="P13" i="38" a="1"/>
  <c r="P13" i="38" s="1"/>
  <c r="R11" i="38" a="1"/>
  <c r="R11" i="38" s="1"/>
  <c r="P12" i="38" a="1"/>
  <c r="P12" i="38" s="1"/>
  <c r="Q11" i="38" a="1"/>
  <c r="Q11" i="38" s="1"/>
  <c r="R10" i="38" a="1"/>
  <c r="R10" i="38" s="1"/>
  <c r="O13" i="38" a="1"/>
  <c r="O13" i="38" s="1"/>
  <c r="AK25" i="38"/>
  <c r="T2" i="38" a="1"/>
  <c r="C26" i="38"/>
  <c r="T17" i="38" a="1"/>
  <c r="T17" i="38" l="1"/>
  <c r="T2" i="38"/>
  <c r="E29" i="38"/>
  <c r="T30" i="38"/>
  <c r="AI26" i="38"/>
  <c r="B30" i="38"/>
  <c r="F29" i="38"/>
  <c r="F45" i="38"/>
  <c r="T45" i="38"/>
  <c r="T33" i="38" a="1"/>
  <c r="T33" i="38" l="1"/>
  <c r="AP33" i="38" s="1"/>
  <c r="AP40" i="38"/>
  <c r="AP41" i="38"/>
  <c r="AP34" i="38"/>
  <c r="AP35" i="38"/>
  <c r="AP43" i="38"/>
  <c r="AP36" i="38"/>
  <c r="AP44" i="38"/>
  <c r="AP37" i="38"/>
  <c r="AP39" i="38"/>
  <c r="AP42" i="38"/>
  <c r="AP38" i="38"/>
  <c r="O17" i="38" a="1"/>
  <c r="O17" i="38" s="1"/>
  <c r="M17" i="38" a="1"/>
  <c r="M17" i="38" s="1"/>
  <c r="J17" i="38" a="1"/>
  <c r="J17" i="38" s="1"/>
  <c r="O19" i="38" a="1"/>
  <c r="O19" i="38" s="1"/>
  <c r="G20" i="38" a="1"/>
  <c r="G20" i="38" s="1"/>
  <c r="K20" i="38" a="1"/>
  <c r="K20" i="38" s="1"/>
  <c r="O22" i="38" a="1"/>
  <c r="O22" i="38" s="1"/>
  <c r="G23" i="38" a="1"/>
  <c r="G23" i="38" s="1"/>
  <c r="K23" i="38" a="1"/>
  <c r="K23" i="38" s="1"/>
  <c r="H23" i="38" a="1"/>
  <c r="H23" i="38" s="1"/>
  <c r="H24" i="38" a="1"/>
  <c r="H24" i="38" s="1"/>
  <c r="P24" i="38" a="1"/>
  <c r="P24" i="38" s="1"/>
  <c r="P18" i="38" a="1"/>
  <c r="P18" i="38" s="1"/>
  <c r="H19" i="38" a="1"/>
  <c r="H19" i="38" s="1"/>
  <c r="P19" i="38" a="1"/>
  <c r="P19" i="38" s="1"/>
  <c r="P21" i="38" a="1"/>
  <c r="P21" i="38" s="1"/>
  <c r="L22" i="38" a="1"/>
  <c r="L22" i="38" s="1"/>
  <c r="P22" i="38" a="1"/>
  <c r="P22" i="38" s="1"/>
  <c r="M23" i="38" a="1"/>
  <c r="M23" i="38" s="1"/>
  <c r="Q23" i="38" a="1"/>
  <c r="Q23" i="38" s="1"/>
  <c r="M21" i="38" a="1"/>
  <c r="M21" i="38" s="1"/>
  <c r="R22" i="38" a="1"/>
  <c r="R22" i="38" s="1"/>
  <c r="J23" i="38" a="1"/>
  <c r="J23" i="38" s="1"/>
  <c r="R23" i="38" a="1"/>
  <c r="R23" i="38" s="1"/>
  <c r="F18" i="38" a="1"/>
  <c r="F18" i="38" s="1"/>
  <c r="J18" i="38" a="1"/>
  <c r="J18" i="38" s="1"/>
  <c r="N18" i="38" a="1"/>
  <c r="N18" i="38" s="1"/>
  <c r="N20" i="38" a="1"/>
  <c r="N20" i="38" s="1"/>
  <c r="R20" i="38" a="1"/>
  <c r="R20" i="38" s="1"/>
  <c r="F21" i="38" a="1"/>
  <c r="F21" i="38" s="1"/>
  <c r="N24" i="38" a="1"/>
  <c r="N24" i="38" s="1"/>
  <c r="I24" i="38" a="1"/>
  <c r="I24" i="38" s="1"/>
  <c r="M24" i="38" a="1"/>
  <c r="M24" i="38" s="1"/>
  <c r="J25" i="38" a="1"/>
  <c r="J25" i="38" s="1"/>
  <c r="F25" i="38" a="1"/>
  <c r="F25" i="38" s="1"/>
  <c r="R25" i="38" a="1"/>
  <c r="R25" i="38" s="1"/>
  <c r="P25" i="38" a="1"/>
  <c r="P25" i="38" s="1"/>
  <c r="F26" i="38" a="1"/>
  <c r="F26" i="38" s="1"/>
  <c r="J26" i="38" a="1"/>
  <c r="J26" i="38" s="1"/>
  <c r="H26" i="38" a="1"/>
  <c r="H26" i="38" s="1"/>
  <c r="L26" i="38" a="1"/>
  <c r="L26" i="38" s="1"/>
  <c r="P26" i="38" a="1"/>
  <c r="P26" i="38" s="1"/>
  <c r="N27" i="38" a="1"/>
  <c r="N27" i="38" s="1"/>
  <c r="R27" i="38" a="1"/>
  <c r="R27" i="38" s="1"/>
  <c r="H28" i="38" a="1"/>
  <c r="H28" i="38" s="1"/>
  <c r="O27" i="38" a="1"/>
  <c r="O27" i="38" s="1"/>
  <c r="I28" i="38" a="1"/>
  <c r="I28" i="38" s="1"/>
  <c r="M28" i="38" a="1"/>
  <c r="M28" i="38" s="1"/>
  <c r="L27" i="38" a="1"/>
  <c r="L27" i="38" s="1"/>
  <c r="F28" i="38" a="1"/>
  <c r="F28" i="38" s="1"/>
  <c r="J28" i="38" a="1"/>
  <c r="J28" i="38" s="1"/>
  <c r="AP45" i="38"/>
  <c r="AQ38" i="38" s="1"/>
  <c r="D46" i="38"/>
  <c r="G46" i="38"/>
  <c r="J27" i="38" l="1" a="1"/>
  <c r="J27" i="38" s="1"/>
  <c r="O26" i="38" a="1"/>
  <c r="O26" i="38" s="1"/>
  <c r="L25" i="38" a="1"/>
  <c r="L25" i="38" s="1"/>
  <c r="Q25" i="38" a="1"/>
  <c r="Q25" i="38" s="1"/>
  <c r="F24" i="38" a="1"/>
  <c r="F24" i="38" s="1"/>
  <c r="J20" i="38" a="1"/>
  <c r="J20" i="38" s="1"/>
  <c r="M20" i="38" a="1"/>
  <c r="M20" i="38" s="1"/>
  <c r="N22" i="38" a="1"/>
  <c r="N22" i="38" s="1"/>
  <c r="M22" i="38" a="1"/>
  <c r="M22" i="38" s="1"/>
  <c r="L21" i="38" a="1"/>
  <c r="L21" i="38" s="1"/>
  <c r="L18" i="38" a="1"/>
  <c r="L18" i="38" s="1"/>
  <c r="M19" i="38" a="1"/>
  <c r="M19" i="38" s="1"/>
  <c r="K22" i="38" a="1"/>
  <c r="K22" i="38" s="1"/>
  <c r="K19" i="38" a="1"/>
  <c r="K19" i="38" s="1"/>
  <c r="K17" i="38" a="1"/>
  <c r="K17" i="38" s="1"/>
  <c r="P27" i="38" a="1"/>
  <c r="P27" i="38" s="1"/>
  <c r="G27" i="38" a="1"/>
  <c r="G27" i="38" s="1"/>
  <c r="G28" i="38" a="1"/>
  <c r="G28" i="38" s="1"/>
  <c r="F27" i="38" a="1"/>
  <c r="F27" i="38" s="1"/>
  <c r="K26" i="38" a="1"/>
  <c r="K26" i="38" s="1"/>
  <c r="H25" i="38" a="1"/>
  <c r="H25" i="38" s="1"/>
  <c r="M25" i="38" a="1"/>
  <c r="M25" i="38" s="1"/>
  <c r="N23" i="38" a="1"/>
  <c r="N23" i="38" s="1"/>
  <c r="R19" i="38" a="1"/>
  <c r="R19" i="38" s="1"/>
  <c r="Q19" i="38" a="1"/>
  <c r="Q19" i="38" s="1"/>
  <c r="J21" i="38" a="1"/>
  <c r="J21" i="38" s="1"/>
  <c r="Q20" i="38" a="1"/>
  <c r="Q20" i="38" s="1"/>
  <c r="H21" i="38" a="1"/>
  <c r="H21" i="38" s="1"/>
  <c r="H18" i="38" a="1"/>
  <c r="H18" i="38" s="1"/>
  <c r="I18" i="38" a="1"/>
  <c r="I18" i="38" s="1"/>
  <c r="G22" i="38" a="1"/>
  <c r="G22" i="38" s="1"/>
  <c r="G19" i="38" a="1"/>
  <c r="G19" i="38" s="1"/>
  <c r="G17" i="38" a="1"/>
  <c r="G17" i="38" s="1"/>
  <c r="H27" i="38" a="1"/>
  <c r="H27" i="38" s="1"/>
  <c r="Q26" i="38" a="1"/>
  <c r="Q26" i="38" s="1"/>
  <c r="I25" i="38" a="1"/>
  <c r="I25" i="38" s="1"/>
  <c r="Q18" i="38" a="1"/>
  <c r="Q18" i="38" s="1"/>
  <c r="P20" i="38" a="1"/>
  <c r="P20" i="38" s="1"/>
  <c r="F17" i="38" a="1"/>
  <c r="F17" i="38" s="1"/>
  <c r="Q27" i="38" a="1"/>
  <c r="Q27" i="38" s="1"/>
  <c r="P28" i="38" a="1"/>
  <c r="P28" i="38" s="1"/>
  <c r="M26" i="38" a="1"/>
  <c r="M26" i="38" s="1"/>
  <c r="R26" i="38" a="1"/>
  <c r="R26" i="38" s="1"/>
  <c r="O25" i="38" a="1"/>
  <c r="O25" i="38" s="1"/>
  <c r="N25" i="38" a="1"/>
  <c r="N25" i="38" s="1"/>
  <c r="J22" i="38" a="1"/>
  <c r="J22" i="38" s="1"/>
  <c r="F19" i="38" a="1"/>
  <c r="F19" i="38" s="1"/>
  <c r="R24" i="38" a="1"/>
  <c r="R24" i="38" s="1"/>
  <c r="Q22" i="38" a="1"/>
  <c r="Q22" i="38" s="1"/>
  <c r="P23" i="38" a="1"/>
  <c r="P23" i="38" s="1"/>
  <c r="L20" i="38" a="1"/>
  <c r="L20" i="38" s="1"/>
  <c r="I21" i="38" a="1"/>
  <c r="I21" i="38" s="1"/>
  <c r="K24" i="38" a="1"/>
  <c r="K24" i="38" s="1"/>
  <c r="G21" i="38" a="1"/>
  <c r="G21" i="38" s="1"/>
  <c r="G18" i="38" a="1"/>
  <c r="G18" i="38" s="1"/>
  <c r="Q17" i="38" a="1"/>
  <c r="Q17" i="38" s="1"/>
  <c r="N28" i="38" a="1"/>
  <c r="N28" i="38" s="1"/>
  <c r="K27" i="38" a="1"/>
  <c r="K27" i="38" s="1"/>
  <c r="K28" i="38" a="1"/>
  <c r="K28" i="38" s="1"/>
  <c r="O28" i="38" a="1"/>
  <c r="O28" i="38" s="1"/>
  <c r="I27" i="38" a="1"/>
  <c r="I27" i="38" s="1"/>
  <c r="G26" i="38" a="1"/>
  <c r="G26" i="38" s="1"/>
  <c r="K25" i="38" a="1"/>
  <c r="K25" i="38" s="1"/>
  <c r="F23" i="38" a="1"/>
  <c r="F23" i="38" s="1"/>
  <c r="N19" i="38" a="1"/>
  <c r="N19" i="38" s="1"/>
  <c r="F20" i="38" a="1"/>
  <c r="F20" i="38" s="1"/>
  <c r="L24" i="38" a="1"/>
  <c r="L24" i="38" s="1"/>
  <c r="Q21" i="38" a="1"/>
  <c r="Q21" i="38" s="1"/>
  <c r="O24" i="38" a="1"/>
  <c r="O24" i="38" s="1"/>
  <c r="O21" i="38" a="1"/>
  <c r="O21" i="38" s="1"/>
  <c r="K18" i="38" a="1"/>
  <c r="K18" i="38" s="1"/>
  <c r="M27" i="38" a="1"/>
  <c r="M27" i="38" s="1"/>
  <c r="R28" i="38" a="1"/>
  <c r="R28" i="38" s="1"/>
  <c r="Q28" i="38" a="1"/>
  <c r="Q28" i="38" s="1"/>
  <c r="L28" i="38" a="1"/>
  <c r="L28" i="38" s="1"/>
  <c r="I26" i="38" a="1"/>
  <c r="I26" i="38" s="1"/>
  <c r="N26" i="38" a="1"/>
  <c r="N26" i="38" s="1"/>
  <c r="G25" i="38" a="1"/>
  <c r="G25" i="38" s="1"/>
  <c r="Q24" i="38" a="1"/>
  <c r="Q24" i="38" s="1"/>
  <c r="N21" i="38" a="1"/>
  <c r="N21" i="38" s="1"/>
  <c r="R18" i="38" a="1"/>
  <c r="R18" i="38" s="1"/>
  <c r="J24" i="38" a="1"/>
  <c r="J24" i="38" s="1"/>
  <c r="I22" i="38" a="1"/>
  <c r="I22" i="38" s="1"/>
  <c r="L23" i="38" a="1"/>
  <c r="L23" i="38" s="1"/>
  <c r="H20" i="38" a="1"/>
  <c r="H20" i="38" s="1"/>
  <c r="I20" i="38" a="1"/>
  <c r="I20" i="38" s="1"/>
  <c r="O23" i="38" a="1"/>
  <c r="O23" i="38" s="1"/>
  <c r="O20" i="38" a="1"/>
  <c r="O20" i="38" s="1"/>
  <c r="R17" i="38" a="1"/>
  <c r="R17" i="38" s="1"/>
  <c r="I17" i="38" a="1"/>
  <c r="I17" i="38" s="1"/>
  <c r="P17" i="38" a="1"/>
  <c r="P17" i="38" s="1"/>
  <c r="H17" i="38" a="1"/>
  <c r="H17" i="38" s="1"/>
  <c r="N17" i="38" a="1"/>
  <c r="N17" i="38" s="1"/>
  <c r="D13" i="38" s="1" a="1"/>
  <c r="D13" i="38" s="1"/>
  <c r="R21" i="38" a="1"/>
  <c r="R21" i="38" s="1"/>
  <c r="J19" i="38" a="1"/>
  <c r="J19" i="38" s="1"/>
  <c r="I19" i="38" a="1"/>
  <c r="I19" i="38" s="1"/>
  <c r="F22" i="38" a="1"/>
  <c r="F22" i="38" s="1"/>
  <c r="I23" i="38" a="1"/>
  <c r="I23" i="38" s="1"/>
  <c r="H22" i="38" a="1"/>
  <c r="H22" i="38" s="1"/>
  <c r="L19" i="38" a="1"/>
  <c r="L19" i="38" s="1"/>
  <c r="M18" i="38" a="1"/>
  <c r="M18" i="38" s="1"/>
  <c r="G24" i="38" a="1"/>
  <c r="G24" i="38" s="1"/>
  <c r="K21" i="38" a="1"/>
  <c r="K21" i="38" s="1"/>
  <c r="O18" i="38" a="1"/>
  <c r="O18" i="38" s="1"/>
  <c r="L17" i="38" a="1"/>
  <c r="L17" i="38" s="1"/>
  <c r="D4" i="38" s="1" a="1"/>
  <c r="D4" i="38" s="1"/>
  <c r="D24" i="38" a="1"/>
  <c r="D24" i="38" s="1"/>
  <c r="AQ33" i="38"/>
  <c r="AR33" i="38" s="1"/>
  <c r="AQ34" i="38"/>
  <c r="AQ42" i="38"/>
  <c r="AQ43" i="38"/>
  <c r="AQ39" i="38"/>
  <c r="AQ36" i="38"/>
  <c r="AQ35" i="38"/>
  <c r="AQ37" i="38"/>
  <c r="AQ44" i="38"/>
  <c r="AQ41" i="38"/>
  <c r="AQ40" i="38"/>
  <c r="C2" i="37"/>
  <c r="I2" i="37" a="1"/>
  <c r="I2" i="37" s="1"/>
  <c r="M2" i="37" a="1"/>
  <c r="M2" i="37" s="1"/>
  <c r="C3" i="37"/>
  <c r="G2" i="37" s="1" a="1"/>
  <c r="G2" i="37" s="1"/>
  <c r="C4" i="37"/>
  <c r="G3" i="37" s="1" a="1"/>
  <c r="G3" i="37" s="1"/>
  <c r="F4" i="37" a="1"/>
  <c r="F4" i="37" s="1"/>
  <c r="H4" i="37" a="1"/>
  <c r="H4" i="37" s="1"/>
  <c r="J4" i="37" a="1"/>
  <c r="J4" i="37" s="1"/>
  <c r="L4" i="37" a="1"/>
  <c r="L4" i="37" s="1"/>
  <c r="N4" i="37" a="1"/>
  <c r="N4" i="37" s="1"/>
  <c r="P4" i="37" a="1"/>
  <c r="P4" i="37" s="1"/>
  <c r="C5" i="37"/>
  <c r="H3" i="37" s="1" a="1"/>
  <c r="H3" i="37" s="1"/>
  <c r="C6" i="37"/>
  <c r="J2" i="37" s="1" a="1"/>
  <c r="J2" i="37" s="1"/>
  <c r="I6" i="37" a="1"/>
  <c r="I6" i="37" s="1"/>
  <c r="M6" i="37" a="1"/>
  <c r="M6" i="37" s="1"/>
  <c r="C7" i="37"/>
  <c r="H5" i="37" s="1" a="1"/>
  <c r="H5" i="37" s="1"/>
  <c r="C8" i="37"/>
  <c r="K3" i="37" s="1" a="1"/>
  <c r="K3" i="37" s="1"/>
  <c r="F8" i="37" a="1"/>
  <c r="F8" i="37" s="1"/>
  <c r="H8" i="37" a="1"/>
  <c r="H8" i="37" s="1"/>
  <c r="J8" i="37" a="1"/>
  <c r="J8" i="37" s="1"/>
  <c r="C9" i="37"/>
  <c r="F9" i="37" s="1" a="1"/>
  <c r="F9" i="37" s="1"/>
  <c r="C10" i="37"/>
  <c r="I7" i="37" s="1" a="1"/>
  <c r="I7" i="37" s="1"/>
  <c r="F10" i="37" a="1"/>
  <c r="F10" i="37" s="1"/>
  <c r="J10" i="37" a="1"/>
  <c r="J10" i="37" s="1"/>
  <c r="C11" i="37"/>
  <c r="L5" i="37" s="1" a="1"/>
  <c r="L5" i="37" s="1"/>
  <c r="C12" i="37"/>
  <c r="O3" i="37" s="1" a="1"/>
  <c r="O3" i="37" s="1"/>
  <c r="F12" i="37" a="1"/>
  <c r="F12" i="37" s="1"/>
  <c r="H12" i="37" a="1"/>
  <c r="H12" i="37" s="1"/>
  <c r="C13" i="37"/>
  <c r="J9" i="37" s="1" a="1"/>
  <c r="J9" i="37" s="1"/>
  <c r="C14" i="37"/>
  <c r="M7" i="37" s="1" a="1"/>
  <c r="M7" i="37" s="1"/>
  <c r="F14" i="37"/>
  <c r="D25" i="38" l="1" a="1"/>
  <c r="D25" i="38" s="1"/>
  <c r="D23" i="38" a="1"/>
  <c r="D23" i="38" s="1"/>
  <c r="D20" i="38" a="1"/>
  <c r="D20" i="38" s="1"/>
  <c r="D3" i="38" a="1"/>
  <c r="D3" i="38" s="1"/>
  <c r="D2" i="38" a="1"/>
  <c r="D2" i="38" s="1"/>
  <c r="D17" i="38" a="1"/>
  <c r="D17" i="38" s="1"/>
  <c r="D10" i="38" a="1"/>
  <c r="D10" i="38" s="1"/>
  <c r="O33" i="38" s="1" a="1"/>
  <c r="O33" i="38" s="1"/>
  <c r="D19" i="38" a="1"/>
  <c r="D19" i="38" s="1"/>
  <c r="R39" i="38" s="1" a="1"/>
  <c r="R39" i="38" s="1"/>
  <c r="D15" i="38" a="1"/>
  <c r="D15" i="38" s="1"/>
  <c r="J43" i="38" s="1" a="1"/>
  <c r="J43" i="38" s="1"/>
  <c r="D14" i="38" a="1"/>
  <c r="D14" i="38" s="1"/>
  <c r="D21" i="38" a="1"/>
  <c r="D21" i="38" s="1"/>
  <c r="D16" i="38" a="1"/>
  <c r="D16" i="38" s="1"/>
  <c r="D7" i="38" a="1"/>
  <c r="D7" i="38" s="1"/>
  <c r="L33" i="38" s="1" a="1"/>
  <c r="L33" i="38" s="1"/>
  <c r="D18" i="38" a="1"/>
  <c r="D18" i="38" s="1"/>
  <c r="Q39" i="38" s="1" a="1"/>
  <c r="Q39" i="38" s="1"/>
  <c r="D9" i="38" a="1"/>
  <c r="D9" i="38" s="1"/>
  <c r="K36" i="38" s="1" a="1"/>
  <c r="K36" i="38" s="1"/>
  <c r="D12" i="38" a="1"/>
  <c r="D12" i="38" s="1"/>
  <c r="M37" i="38" s="1" a="1"/>
  <c r="M37" i="38" s="1"/>
  <c r="D6" i="38" a="1"/>
  <c r="D6" i="38" s="1"/>
  <c r="D8" i="38" a="1"/>
  <c r="D8" i="38" s="1"/>
  <c r="H38" i="38" s="1" a="1"/>
  <c r="H38" i="38" s="1"/>
  <c r="D5" i="38" a="1"/>
  <c r="D5" i="38" s="1"/>
  <c r="AR34" i="38"/>
  <c r="D22" i="38" a="1"/>
  <c r="D22" i="38" s="1"/>
  <c r="R42" i="38" s="1" a="1"/>
  <c r="R42" i="38" s="1"/>
  <c r="D11" i="38" a="1"/>
  <c r="D11" i="38" s="1"/>
  <c r="H41" i="38" s="1" a="1"/>
  <c r="H41" i="38" s="1"/>
  <c r="B15" i="38"/>
  <c r="AI15" i="38" s="1"/>
  <c r="M40" i="38" a="1"/>
  <c r="M40" i="38" s="1"/>
  <c r="R35" i="38" a="1"/>
  <c r="R35" i="38" s="1"/>
  <c r="F34" i="38" a="1"/>
  <c r="F34" i="38" s="1"/>
  <c r="I44" i="38" a="1"/>
  <c r="I44" i="38" s="1"/>
  <c r="N39" i="38" a="1"/>
  <c r="N39" i="38" s="1"/>
  <c r="K42" i="38" a="1"/>
  <c r="K42" i="38" s="1"/>
  <c r="P37" i="38" a="1"/>
  <c r="P37" i="38" s="1"/>
  <c r="B4" i="38"/>
  <c r="AI4" i="38" s="1"/>
  <c r="I33" i="38" a="1"/>
  <c r="I33" i="38" s="1"/>
  <c r="H34" i="38" a="1"/>
  <c r="H34" i="38" s="1"/>
  <c r="G35" i="38" a="1"/>
  <c r="G35" i="38" s="1"/>
  <c r="B21" i="38"/>
  <c r="AI21" i="38" s="1"/>
  <c r="O44" i="38" a="1"/>
  <c r="O44" i="38" s="1"/>
  <c r="Q42" i="38" a="1"/>
  <c r="Q42" i="38" s="1"/>
  <c r="F40" i="38" a="1"/>
  <c r="F40" i="38" s="1"/>
  <c r="P43" i="38" a="1"/>
  <c r="P43" i="38" s="1"/>
  <c r="R41" i="38" a="1"/>
  <c r="R41" i="38" s="1"/>
  <c r="B16" i="38"/>
  <c r="AI16" i="38" s="1"/>
  <c r="L42" i="38" a="1"/>
  <c r="L42" i="38" s="1"/>
  <c r="F35" i="38" a="1"/>
  <c r="F35" i="38" s="1"/>
  <c r="Q37" i="38" a="1"/>
  <c r="Q37" i="38" s="1"/>
  <c r="N40" i="38" a="1"/>
  <c r="N40" i="38" s="1"/>
  <c r="K43" i="38" a="1"/>
  <c r="K43" i="38" s="1"/>
  <c r="P38" i="38" a="1"/>
  <c r="P38" i="38" s="1"/>
  <c r="M41" i="38" a="1"/>
  <c r="M41" i="38" s="1"/>
  <c r="J44" i="38" a="1"/>
  <c r="J44" i="38" s="1"/>
  <c r="R36" i="38" a="1"/>
  <c r="R36" i="38" s="1"/>
  <c r="O39" i="38" a="1"/>
  <c r="O39" i="38" s="1"/>
  <c r="B14" i="38"/>
  <c r="AI14" i="38" s="1"/>
  <c r="F33" i="38" a="1"/>
  <c r="F33" i="38" s="1"/>
  <c r="N38" i="38" a="1"/>
  <c r="N38" i="38" s="1"/>
  <c r="K41" i="38" a="1"/>
  <c r="K41" i="38" s="1"/>
  <c r="P36" i="38" a="1"/>
  <c r="P36" i="38" s="1"/>
  <c r="M39" i="38" a="1"/>
  <c r="M39" i="38" s="1"/>
  <c r="R34" i="38" a="1"/>
  <c r="R34" i="38" s="1"/>
  <c r="J42" i="38" a="1"/>
  <c r="J42" i="38" s="1"/>
  <c r="O37" i="38" a="1"/>
  <c r="O37" i="38" s="1"/>
  <c r="L40" i="38" a="1"/>
  <c r="L40" i="38" s="1"/>
  <c r="H44" i="38" a="1"/>
  <c r="H44" i="38" s="1"/>
  <c r="Q35" i="38" a="1"/>
  <c r="Q35" i="38" s="1"/>
  <c r="I43" i="38" a="1"/>
  <c r="I43" i="38" s="1"/>
  <c r="AR35" i="38"/>
  <c r="AR36" i="38" s="1"/>
  <c r="AR37" i="38" s="1"/>
  <c r="AR38" i="38" s="1"/>
  <c r="AR39" i="38" s="1"/>
  <c r="AR40" i="38" s="1"/>
  <c r="AR41" i="38" s="1"/>
  <c r="AR42" i="38" s="1"/>
  <c r="AR43" i="38" s="1"/>
  <c r="AR44" i="38" s="1"/>
  <c r="B18" i="38"/>
  <c r="AI18" i="38" s="1"/>
  <c r="R38" i="38" a="1"/>
  <c r="R38" i="38" s="1"/>
  <c r="F37" i="38" a="1"/>
  <c r="F37" i="38" s="1"/>
  <c r="N42" i="38" a="1"/>
  <c r="N42" i="38" s="1"/>
  <c r="M43" i="38" a="1"/>
  <c r="M43" i="38" s="1"/>
  <c r="O41" i="38" a="1"/>
  <c r="O41" i="38" s="1"/>
  <c r="B7" i="38"/>
  <c r="AI7" i="38" s="1"/>
  <c r="G38" i="38" a="1"/>
  <c r="G38" i="38" s="1"/>
  <c r="K34" i="38" a="1"/>
  <c r="K34" i="38" s="1"/>
  <c r="H37" i="38" a="1"/>
  <c r="H37" i="38" s="1"/>
  <c r="B23" i="38"/>
  <c r="AI23" i="38" s="1"/>
  <c r="Q44" i="38" a="1"/>
  <c r="Q44" i="38" s="1"/>
  <c r="F42" i="38" a="1"/>
  <c r="F42" i="38" s="1"/>
  <c r="R43" i="38" a="1"/>
  <c r="R43" i="38" s="1"/>
  <c r="B13" i="38"/>
  <c r="AI13" i="38" s="1"/>
  <c r="R33" i="38" a="1"/>
  <c r="R33" i="38" s="1"/>
  <c r="O36" i="38" a="1"/>
  <c r="O36" i="38" s="1"/>
  <c r="G44" i="38" a="1"/>
  <c r="G44" i="38" s="1"/>
  <c r="L39" i="38" a="1"/>
  <c r="L39" i="38" s="1"/>
  <c r="Q34" i="38" a="1"/>
  <c r="Q34" i="38" s="1"/>
  <c r="N37" i="38" a="1"/>
  <c r="N37" i="38" s="1"/>
  <c r="K40" i="38" a="1"/>
  <c r="K40" i="38" s="1"/>
  <c r="P35" i="38" a="1"/>
  <c r="P35" i="38" s="1"/>
  <c r="H43" i="38" a="1"/>
  <c r="H43" i="38" s="1"/>
  <c r="I42" i="38" a="1"/>
  <c r="I42" i="38" s="1"/>
  <c r="M38" i="38" a="1"/>
  <c r="M38" i="38" s="1"/>
  <c r="J41" i="38" a="1"/>
  <c r="J41" i="38" s="1"/>
  <c r="B24" i="38"/>
  <c r="AI24" i="38" s="1"/>
  <c r="R44" i="38" a="1"/>
  <c r="R44" i="38" s="1"/>
  <c r="F43" i="38" a="1"/>
  <c r="F43" i="38" s="1"/>
  <c r="B8" i="38"/>
  <c r="AI8" i="38" s="1"/>
  <c r="M33" i="38" a="1"/>
  <c r="M33" i="38" s="1"/>
  <c r="L34" i="38" a="1"/>
  <c r="L34" i="38" s="1"/>
  <c r="I37" i="38" a="1"/>
  <c r="I37" i="38" s="1"/>
  <c r="K35" i="38" a="1"/>
  <c r="K35" i="38" s="1"/>
  <c r="J36" i="38" a="1"/>
  <c r="J36" i="38" s="1"/>
  <c r="G39" i="38" a="1"/>
  <c r="G39" i="38" s="1"/>
  <c r="B6" i="38"/>
  <c r="AI6" i="38" s="1"/>
  <c r="K33" i="38" a="1"/>
  <c r="K33" i="38" s="1"/>
  <c r="H36" i="38" a="1"/>
  <c r="H36" i="38" s="1"/>
  <c r="J34" i="38" a="1"/>
  <c r="J34" i="38" s="1"/>
  <c r="G37" i="38" a="1"/>
  <c r="G37" i="38" s="1"/>
  <c r="I35" i="38" a="1"/>
  <c r="I35" i="38" s="1"/>
  <c r="K38" i="38" a="1"/>
  <c r="K38" i="38" s="1"/>
  <c r="B5" i="38"/>
  <c r="AI5" i="38" s="1"/>
  <c r="J33" i="38" a="1"/>
  <c r="J33" i="38" s="1"/>
  <c r="G36" i="38" a="1"/>
  <c r="G36" i="38" s="1"/>
  <c r="I34" i="38" a="1"/>
  <c r="I34" i="38" s="1"/>
  <c r="H35" i="38" a="1"/>
  <c r="H35" i="38" s="1"/>
  <c r="B20" i="38"/>
  <c r="AI20" i="38" s="1"/>
  <c r="R40" i="38" a="1"/>
  <c r="R40" i="38" s="1"/>
  <c r="O43" i="38" a="1"/>
  <c r="O43" i="38" s="1"/>
  <c r="F39" i="38" a="1"/>
  <c r="F39" i="38" s="1"/>
  <c r="Q41" i="38" a="1"/>
  <c r="Q41" i="38" s="1"/>
  <c r="N44" i="38" a="1"/>
  <c r="N44" i="38" s="1"/>
  <c r="P42" i="38" a="1"/>
  <c r="P42" i="38" s="1"/>
  <c r="B3" i="38"/>
  <c r="AI3" i="38" s="1"/>
  <c r="H33" i="38" a="1"/>
  <c r="H33" i="38" s="1"/>
  <c r="G34" i="38" a="1"/>
  <c r="G34" i="38" s="1"/>
  <c r="B2" i="38"/>
  <c r="AI2" i="38" s="1"/>
  <c r="G33" i="38" a="1"/>
  <c r="G33" i="38" s="1"/>
  <c r="B25" i="38"/>
  <c r="AI25" i="38" s="1"/>
  <c r="F44" i="38" a="1"/>
  <c r="F44" i="38" s="1"/>
  <c r="B17" i="38"/>
  <c r="AI17" i="38" s="1"/>
  <c r="P39" i="38" a="1"/>
  <c r="P39" i="38" s="1"/>
  <c r="M42" i="38" a="1"/>
  <c r="M42" i="38" s="1"/>
  <c r="R37" i="38" a="1"/>
  <c r="R37" i="38" s="1"/>
  <c r="O40" i="38" a="1"/>
  <c r="O40" i="38" s="1"/>
  <c r="L43" i="38" a="1"/>
  <c r="L43" i="38" s="1"/>
  <c r="F36" i="38" a="1"/>
  <c r="F36" i="38" s="1"/>
  <c r="Q38" i="38" a="1"/>
  <c r="Q38" i="38" s="1"/>
  <c r="N41" i="38" a="1"/>
  <c r="N41" i="38" s="1"/>
  <c r="K44" i="38" a="1"/>
  <c r="K44" i="38" s="1"/>
  <c r="I10" i="37" a="1"/>
  <c r="I10" i="37" s="1"/>
  <c r="K6" i="37" a="1"/>
  <c r="K6" i="37" s="1"/>
  <c r="H10" i="37" a="1"/>
  <c r="H10" i="37" s="1"/>
  <c r="K8" i="37" a="1"/>
  <c r="K8" i="37" s="1"/>
  <c r="G8" i="37" a="1"/>
  <c r="G8" i="37" s="1"/>
  <c r="N6" i="37" a="1"/>
  <c r="N6" i="37" s="1"/>
  <c r="J6" i="37" a="1"/>
  <c r="J6" i="37" s="1"/>
  <c r="F6" i="37" a="1"/>
  <c r="F6" i="37" s="1"/>
  <c r="M4" i="37" a="1"/>
  <c r="M4" i="37" s="1"/>
  <c r="I4" i="37" a="1"/>
  <c r="I4" i="37" s="1"/>
  <c r="P2" i="37" a="1"/>
  <c r="P2" i="37" s="1"/>
  <c r="L2" i="37" a="1"/>
  <c r="L2" i="37" s="1"/>
  <c r="H2" i="37" a="1"/>
  <c r="H2" i="37" s="1"/>
  <c r="G13" i="37" a="1"/>
  <c r="G13" i="37" s="1"/>
  <c r="F11" i="37" a="1"/>
  <c r="F11" i="37" s="1"/>
  <c r="I9" i="37" a="1"/>
  <c r="I9" i="37" s="1"/>
  <c r="L7" i="37" a="1"/>
  <c r="L7" i="37" s="1"/>
  <c r="H7" i="37" a="1"/>
  <c r="H7" i="37" s="1"/>
  <c r="O5" i="37" a="1"/>
  <c r="O5" i="37" s="1"/>
  <c r="K5" i="37" a="1"/>
  <c r="K5" i="37" s="1"/>
  <c r="G5" i="37" a="1"/>
  <c r="G5" i="37" s="1"/>
  <c r="N3" i="37" a="1"/>
  <c r="N3" i="37" s="1"/>
  <c r="J3" i="37" a="1"/>
  <c r="J3" i="37" s="1"/>
  <c r="F3" i="37" a="1"/>
  <c r="F3" i="37" s="1"/>
  <c r="O2" i="37" a="1"/>
  <c r="O2" i="37" s="1"/>
  <c r="K2" i="37" a="1"/>
  <c r="K2" i="37" s="1"/>
  <c r="F13" i="37" a="1"/>
  <c r="F13" i="37" s="1"/>
  <c r="I11" i="37" a="1"/>
  <c r="I11" i="37" s="1"/>
  <c r="H9" i="37" a="1"/>
  <c r="H9" i="37" s="1"/>
  <c r="K7" i="37" a="1"/>
  <c r="K7" i="37" s="1"/>
  <c r="G7" i="37" a="1"/>
  <c r="G7" i="37" s="1"/>
  <c r="N5" i="37" a="1"/>
  <c r="N5" i="37" s="1"/>
  <c r="J5" i="37" a="1"/>
  <c r="J5" i="37" s="1"/>
  <c r="F5" i="37" a="1"/>
  <c r="F5" i="37" s="1"/>
  <c r="Q3" i="37" a="1"/>
  <c r="Q3" i="37" s="1"/>
  <c r="M3" i="37" a="1"/>
  <c r="M3" i="37" s="1"/>
  <c r="I3" i="37" a="1"/>
  <c r="I3" i="37" s="1"/>
  <c r="I8" i="37" a="1"/>
  <c r="I8" i="37" s="1"/>
  <c r="L6" i="37" a="1"/>
  <c r="L6" i="37" s="1"/>
  <c r="H6" i="37" a="1"/>
  <c r="H6" i="37" s="1"/>
  <c r="O4" i="37" a="1"/>
  <c r="O4" i="37" s="1"/>
  <c r="K4" i="37" a="1"/>
  <c r="K4" i="37" s="1"/>
  <c r="G4" i="37" a="1"/>
  <c r="G4" i="37" s="1"/>
  <c r="R2" i="37" a="1"/>
  <c r="R2" i="37" s="1"/>
  <c r="N2" i="37" a="1"/>
  <c r="N2" i="37" s="1"/>
  <c r="F2" i="37" a="1"/>
  <c r="F2" i="37" s="1"/>
  <c r="G12" i="37" a="1"/>
  <c r="G12" i="37" s="1"/>
  <c r="H11" i="37" a="1"/>
  <c r="H11" i="37" s="1"/>
  <c r="K9" i="37" a="1"/>
  <c r="K9" i="37" s="1"/>
  <c r="G9" i="37" a="1"/>
  <c r="G9" i="37" s="1"/>
  <c r="J7" i="37" a="1"/>
  <c r="J7" i="37" s="1"/>
  <c r="F7" i="37" a="1"/>
  <c r="F7" i="37" s="1"/>
  <c r="M5" i="37" a="1"/>
  <c r="M5" i="37" s="1"/>
  <c r="I5" i="37" a="1"/>
  <c r="I5" i="37" s="1"/>
  <c r="P3" i="37" a="1"/>
  <c r="P3" i="37" s="1"/>
  <c r="L3" i="37" a="1"/>
  <c r="L3" i="37" s="1"/>
  <c r="G10" i="37" a="1"/>
  <c r="G10" i="37" s="1"/>
  <c r="G6" i="37" a="1"/>
  <c r="G6" i="37" s="1"/>
  <c r="Q2" i="37" a="1"/>
  <c r="Q2" i="37" s="1"/>
  <c r="L8" i="37" a="1"/>
  <c r="L8" i="37" s="1"/>
  <c r="G11" i="37" a="1"/>
  <c r="G11" i="37" s="1"/>
  <c r="C15" i="37"/>
  <c r="C16" i="37"/>
  <c r="C17" i="37"/>
  <c r="C18" i="37"/>
  <c r="C19" i="37"/>
  <c r="C20" i="37"/>
  <c r="C21" i="37"/>
  <c r="C22" i="37"/>
  <c r="C23" i="37"/>
  <c r="C24" i="37"/>
  <c r="C25" i="37"/>
  <c r="R13" i="37" s="1" a="1"/>
  <c r="R13" i="37" s="1"/>
  <c r="C26" i="37"/>
  <c r="Q36" i="38" l="1" a="1"/>
  <c r="Q36" i="38" s="1"/>
  <c r="L41" i="38" a="1"/>
  <c r="L41" i="38" s="1"/>
  <c r="O38" i="38" a="1"/>
  <c r="O38" i="38" s="1"/>
  <c r="Q33" i="38" a="1"/>
  <c r="Q33" i="38" s="1"/>
  <c r="M34" i="38" a="1"/>
  <c r="M34" i="38" s="1"/>
  <c r="N36" i="38" a="1"/>
  <c r="N36" i="38" s="1"/>
  <c r="I41" i="38" a="1"/>
  <c r="I41" i="38" s="1"/>
  <c r="G40" i="38" a="1"/>
  <c r="G40" i="38" s="1"/>
  <c r="L38" i="38" a="1"/>
  <c r="L38" i="38" s="1"/>
  <c r="O42" i="38" a="1"/>
  <c r="O42" i="38" s="1"/>
  <c r="H40" i="38" a="1"/>
  <c r="H40" i="38" s="1"/>
  <c r="B10" i="38"/>
  <c r="AI10" i="38" s="1"/>
  <c r="L35" i="38" a="1"/>
  <c r="L35" i="38" s="1"/>
  <c r="F38" i="38" a="1"/>
  <c r="F38" i="38" s="1"/>
  <c r="I39" i="38" a="1"/>
  <c r="I39" i="38" s="1"/>
  <c r="G43" i="38" a="1"/>
  <c r="G43" i="38" s="1"/>
  <c r="H39" i="38" a="1"/>
  <c r="H39" i="38" s="1"/>
  <c r="L36" i="38" a="1"/>
  <c r="L36" i="38" s="1"/>
  <c r="O35" i="38" a="1"/>
  <c r="O35" i="38" s="1"/>
  <c r="N33" i="38" a="1"/>
  <c r="N33" i="38" s="1"/>
  <c r="N43" i="38" a="1"/>
  <c r="N43" i="38" s="1"/>
  <c r="B19" i="38"/>
  <c r="AI19" i="38" s="1"/>
  <c r="J40" i="38" a="1"/>
  <c r="J40" i="38" s="1"/>
  <c r="B9" i="38"/>
  <c r="AI9" i="38" s="1"/>
  <c r="M44" i="38" a="1"/>
  <c r="M44" i="38" s="1"/>
  <c r="J38" i="38" a="1"/>
  <c r="J38" i="38" s="1"/>
  <c r="H42" i="38" a="1"/>
  <c r="H42" i="38" s="1"/>
  <c r="P41" i="38" a="1"/>
  <c r="P41" i="38" s="1"/>
  <c r="K37" i="38" a="1"/>
  <c r="K37" i="38" s="1"/>
  <c r="B12" i="38"/>
  <c r="AI12" i="38" s="1"/>
  <c r="N34" i="38" a="1"/>
  <c r="N34" i="38" s="1"/>
  <c r="G41" i="38" a="1"/>
  <c r="G41" i="38" s="1"/>
  <c r="M35" i="38" a="1"/>
  <c r="M35" i="38" s="1"/>
  <c r="K39" i="38" a="1"/>
  <c r="K39" i="38" s="1"/>
  <c r="P34" i="38" a="1"/>
  <c r="P34" i="38" s="1"/>
  <c r="I38" i="38" a="1"/>
  <c r="I38" i="38" s="1"/>
  <c r="Q40" i="38" a="1"/>
  <c r="Q40" i="38" s="1"/>
  <c r="N35" i="38" a="1"/>
  <c r="N35" i="38" s="1"/>
  <c r="B22" i="38"/>
  <c r="AI22" i="38" s="1"/>
  <c r="L37" i="38" a="1"/>
  <c r="L37" i="38" s="1"/>
  <c r="I40" i="38" a="1"/>
  <c r="I40" i="38" s="1"/>
  <c r="I36" i="38" a="1"/>
  <c r="I36" i="38" s="1"/>
  <c r="J37" i="38" a="1"/>
  <c r="J37" i="38" s="1"/>
  <c r="P40" i="38" a="1"/>
  <c r="P40" i="38" s="1"/>
  <c r="P33" i="38" a="1"/>
  <c r="P33" i="38" s="1"/>
  <c r="O34" i="38" a="1"/>
  <c r="O34" i="38" s="1"/>
  <c r="B11" i="38"/>
  <c r="AI11" i="38" s="1"/>
  <c r="J35" i="38" a="1"/>
  <c r="J35" i="38" s="1"/>
  <c r="L44" i="38" a="1"/>
  <c r="L44" i="38" s="1"/>
  <c r="G42" i="38" a="1"/>
  <c r="G42" i="38" s="1"/>
  <c r="D33" i="38" s="1" a="1"/>
  <c r="D33" i="38" s="1"/>
  <c r="J39" i="38" a="1"/>
  <c r="J39" i="38" s="1"/>
  <c r="P44" i="38" a="1"/>
  <c r="P44" i="38" s="1"/>
  <c r="M36" i="38" a="1"/>
  <c r="M36" i="38" s="1"/>
  <c r="Q43" i="38" a="1"/>
  <c r="Q43" i="38" s="1"/>
  <c r="F41" i="38" a="1"/>
  <c r="F41" i="38" s="1"/>
  <c r="Q7" i="37" a="1"/>
  <c r="Q7" i="37" s="1"/>
  <c r="P8" i="37" a="1"/>
  <c r="P8" i="37" s="1"/>
  <c r="N10" i="37" a="1"/>
  <c r="N10" i="37" s="1"/>
  <c r="O9" i="37" a="1"/>
  <c r="O9" i="37" s="1"/>
  <c r="M11" i="37" a="1"/>
  <c r="M11" i="37" s="1"/>
  <c r="K13" i="37" a="1"/>
  <c r="K13" i="37" s="1"/>
  <c r="R6" i="37" a="1"/>
  <c r="R6" i="37" s="1"/>
  <c r="L12" i="37" a="1"/>
  <c r="L12" i="37" s="1"/>
  <c r="R12" i="37" a="1"/>
  <c r="R12" i="37" s="1"/>
  <c r="Q13" i="37" a="1"/>
  <c r="Q13" i="37" s="1"/>
  <c r="K11" i="37" a="1"/>
  <c r="K11" i="37" s="1"/>
  <c r="Q5" i="37" a="1"/>
  <c r="Q5" i="37" s="1"/>
  <c r="P6" i="37" a="1"/>
  <c r="P6" i="37" s="1"/>
  <c r="O7" i="37" a="1"/>
  <c r="O7" i="37" s="1"/>
  <c r="M9" i="37" a="1"/>
  <c r="M9" i="37" s="1"/>
  <c r="L10" i="37" a="1"/>
  <c r="L10" i="37" s="1"/>
  <c r="R4" i="37" a="1"/>
  <c r="R4" i="37" s="1"/>
  <c r="J12" i="37" a="1"/>
  <c r="J12" i="37" s="1"/>
  <c r="I13" i="37" a="1"/>
  <c r="I13" i="37" s="1"/>
  <c r="N8" i="37" a="1"/>
  <c r="N8" i="37" s="1"/>
  <c r="N9" i="37" a="1"/>
  <c r="N9" i="37" s="1"/>
  <c r="M10" i="37" a="1"/>
  <c r="M10" i="37" s="1"/>
  <c r="L11" i="37" a="1"/>
  <c r="L11" i="37" s="1"/>
  <c r="R5" i="37" a="1"/>
  <c r="R5" i="37" s="1"/>
  <c r="J13" i="37" a="1"/>
  <c r="J13" i="37" s="1"/>
  <c r="P7" i="37" a="1"/>
  <c r="P7" i="37" s="1"/>
  <c r="K12" i="37" a="1"/>
  <c r="K12" i="37" s="1"/>
  <c r="Q6" i="37" a="1"/>
  <c r="Q6" i="37" s="1"/>
  <c r="O8" i="37" a="1"/>
  <c r="O8" i="37" s="1"/>
  <c r="P13" i="37" a="1"/>
  <c r="P13" i="37" s="1"/>
  <c r="R11" i="37" a="1"/>
  <c r="R11" i="37" s="1"/>
  <c r="Q12" i="37" a="1"/>
  <c r="Q12" i="37" s="1"/>
  <c r="P5" i="37" a="1"/>
  <c r="P5" i="37" s="1"/>
  <c r="H13" i="37" a="1"/>
  <c r="H13" i="37" s="1"/>
  <c r="K10" i="37" a="1"/>
  <c r="K10" i="37" s="1"/>
  <c r="O6" i="37" a="1"/>
  <c r="O6" i="37" s="1"/>
  <c r="N7" i="37" a="1"/>
  <c r="N7" i="37" s="1"/>
  <c r="M8" i="37" a="1"/>
  <c r="M8" i="37" s="1"/>
  <c r="L9" i="37" a="1"/>
  <c r="L9" i="37" s="1"/>
  <c r="R3" i="37" a="1"/>
  <c r="R3" i="37" s="1"/>
  <c r="J11" i="37" a="1"/>
  <c r="J11" i="37" s="1"/>
  <c r="Q4" i="37" a="1"/>
  <c r="Q4" i="37" s="1"/>
  <c r="I12" i="37" a="1"/>
  <c r="I12" i="37" s="1"/>
  <c r="R9" i="37" a="1"/>
  <c r="R9" i="37" s="1"/>
  <c r="Q10" i="37" a="1"/>
  <c r="Q10" i="37" s="1"/>
  <c r="P11" i="37" a="1"/>
  <c r="P11" i="37" s="1"/>
  <c r="O12" i="37" a="1"/>
  <c r="O12" i="37" s="1"/>
  <c r="N13" i="37" a="1"/>
  <c r="N13" i="37" s="1"/>
  <c r="O11" i="37" a="1"/>
  <c r="O11" i="37" s="1"/>
  <c r="N12" i="37" a="1"/>
  <c r="N12" i="37" s="1"/>
  <c r="R8" i="37" a="1"/>
  <c r="R8" i="37" s="1"/>
  <c r="M13" i="37" a="1"/>
  <c r="M13" i="37" s="1"/>
  <c r="Q9" i="37" a="1"/>
  <c r="Q9" i="37" s="1"/>
  <c r="P10" i="37" a="1"/>
  <c r="P10" i="37" s="1"/>
  <c r="P12" i="37" a="1"/>
  <c r="P12" i="37" s="1"/>
  <c r="R10" i="37" a="1"/>
  <c r="R10" i="37" s="1"/>
  <c r="Q11" i="37" a="1"/>
  <c r="Q11" i="37" s="1"/>
  <c r="O13" i="37" a="1"/>
  <c r="O13" i="37" s="1"/>
  <c r="L13" i="37" a="1"/>
  <c r="L13" i="37" s="1"/>
  <c r="R7" i="37" a="1"/>
  <c r="R7" i="37" s="1"/>
  <c r="Q8" i="37" a="1"/>
  <c r="Q8" i="37" s="1"/>
  <c r="O10" i="37" a="1"/>
  <c r="O10" i="37" s="1"/>
  <c r="P9" i="37" a="1"/>
  <c r="P9" i="37" s="1"/>
  <c r="N11" i="37" a="1"/>
  <c r="N11" i="37" s="1"/>
  <c r="M12" i="37" a="1"/>
  <c r="M12" i="37" s="1"/>
  <c r="I1" i="37"/>
  <c r="M1" i="37" s="1"/>
  <c r="D26" i="38" l="1"/>
  <c r="B26" i="38" s="1"/>
  <c r="D27" i="38" l="1"/>
  <c r="B27" i="38" s="1"/>
  <c r="D28" i="38" l="1"/>
  <c r="B28" i="38" s="1"/>
  <c r="M7" i="36"/>
  <c r="AI5" i="36"/>
  <c r="AL5" i="36"/>
  <c r="AH2" i="36"/>
  <c r="Y7" i="36"/>
  <c r="AE5" i="36"/>
  <c r="S7" i="36"/>
  <c r="AF2" i="36"/>
  <c r="AF3" i="36"/>
  <c r="AH3" i="36"/>
  <c r="H7" i="36"/>
  <c r="D29" i="38" l="1"/>
  <c r="B29" i="38" s="1"/>
  <c r="E8" i="36"/>
  <c r="H2" i="36" s="1" a="1"/>
  <c r="E9" i="36"/>
  <c r="H2" i="36" l="1"/>
  <c r="M2" i="36" s="1"/>
  <c r="N3" i="36"/>
  <c r="O4" i="36"/>
  <c r="P5" i="36"/>
  <c r="Q6" i="36"/>
  <c r="H10" i="36" a="1"/>
  <c r="H10" i="36" s="1"/>
  <c r="M10" i="36" s="1"/>
  <c r="N11" i="36"/>
  <c r="B12" i="36" a="1"/>
  <c r="B12" i="36" s="1"/>
  <c r="O12" i="36"/>
  <c r="M17" i="36" a="1"/>
  <c r="M17" i="36" s="1"/>
  <c r="B17" i="36"/>
  <c r="AE13" i="36"/>
  <c r="AR16" i="36"/>
  <c r="AR13" i="36"/>
  <c r="M13" i="36"/>
  <c r="AK13" i="36"/>
  <c r="AR14" i="36"/>
  <c r="S15" i="36"/>
  <c r="S2" i="36" a="1"/>
  <c r="Y14" i="36"/>
  <c r="S10" i="36" a="1"/>
  <c r="H11" i="36"/>
  <c r="AR15" i="36"/>
  <c r="AR17" i="36"/>
  <c r="S18" i="36" a="1"/>
  <c r="S2" i="36" l="1"/>
  <c r="AE2" i="36" s="1"/>
  <c r="AE3" i="36"/>
  <c r="S10" i="36"/>
  <c r="AI4" i="36"/>
  <c r="AL4" i="36" s="1"/>
  <c r="S18" i="36"/>
  <c r="AE19" i="36"/>
  <c r="AK19" i="36"/>
  <c r="AR18" i="36"/>
  <c r="Y11" i="36" l="1" a="1"/>
  <c r="Y11" i="36" s="1"/>
  <c r="AK16" i="36" s="1" a="1"/>
  <c r="AK16" i="36" s="1"/>
  <c r="AE16" i="36" a="1"/>
  <c r="AE16" i="36" s="1"/>
  <c r="Y2" i="36" a="1"/>
  <c r="Y2" i="36" s="1"/>
  <c r="AK8" i="36" s="1" a="1"/>
  <c r="AK8" i="36" s="1"/>
  <c r="AE8" i="36" a="1"/>
  <c r="AE4" i="36"/>
  <c r="AG3" i="36" s="1"/>
  <c r="S21" i="36"/>
  <c r="AR19" i="36"/>
  <c r="AE8" i="36" l="1"/>
  <c r="AY10" i="36" s="1"/>
  <c r="AQ10" i="36"/>
  <c r="AR10" i="36"/>
  <c r="AZ10" i="36"/>
  <c r="AZ11" i="36"/>
  <c r="AQ11" i="36"/>
  <c r="AY11" i="36"/>
  <c r="AR11" i="36"/>
  <c r="AG2" i="36"/>
  <c r="AR21" i="36"/>
  <c r="AY13" i="36" l="1"/>
  <c r="AQ15" i="36"/>
  <c r="AQ21" i="36"/>
  <c r="AQ13" i="36" a="1"/>
  <c r="AQ13" i="36" s="1"/>
  <c r="AQ14" i="36"/>
  <c r="AQ19" i="36"/>
  <c r="AY21" i="36"/>
  <c r="AQ22" i="36"/>
  <c r="AY22" i="36"/>
  <c r="AQ23" i="36" a="1"/>
  <c r="AQ23" i="36" s="1"/>
  <c r="AY23" i="36" a="1"/>
  <c r="AY23" i="36" s="1"/>
  <c r="AD26" i="36"/>
  <c r="AE26" i="36"/>
  <c r="AF26" i="36"/>
  <c r="B27" i="36"/>
  <c r="C27" i="36"/>
  <c r="D27" i="36"/>
  <c r="E27" i="36"/>
  <c r="AD27" i="36"/>
  <c r="AE27" i="36"/>
  <c r="AF27" i="36"/>
  <c r="B28" i="36"/>
  <c r="C28" i="36"/>
  <c r="D28" i="36"/>
  <c r="E28" i="36"/>
  <c r="AD28" i="36"/>
  <c r="AE28" i="36"/>
  <c r="AF28" i="36"/>
  <c r="B29" i="36"/>
  <c r="E29" i="36" s="1"/>
  <c r="E32" i="36" s="1"/>
  <c r="C29" i="36"/>
  <c r="D29" i="36"/>
  <c r="AD29" i="36"/>
  <c r="AE29" i="36"/>
  <c r="AF29" i="36"/>
  <c r="B30" i="36"/>
  <c r="E30" i="36" s="1"/>
  <c r="C30" i="36"/>
  <c r="C32" i="36" s="1"/>
  <c r="D30" i="36"/>
  <c r="AD30" i="36"/>
  <c r="AE30" i="36"/>
  <c r="AF30" i="36"/>
  <c r="B31" i="36"/>
  <c r="E31" i="36" s="1"/>
  <c r="C31" i="36"/>
  <c r="D31" i="36"/>
  <c r="D32" i="36" s="1"/>
  <c r="AD31" i="36"/>
  <c r="AE31" i="36"/>
  <c r="AF31" i="36"/>
  <c r="AD32" i="36"/>
  <c r="AE32" i="36"/>
  <c r="AF32" i="36"/>
  <c r="AR23" i="36"/>
  <c r="AZ22" i="36"/>
  <c r="M22" i="36"/>
  <c r="AZ23" i="36"/>
  <c r="AZ21" i="36"/>
  <c r="AR22" i="36"/>
  <c r="B33" i="36"/>
  <c r="F27" i="36"/>
  <c r="AQ16" i="36" l="1"/>
  <c r="AQ17" i="36" s="1"/>
  <c r="AQ18" i="36" s="1"/>
  <c r="B32" i="36"/>
  <c r="AD33" i="36"/>
  <c r="AE33" i="36"/>
  <c r="AF33" i="36"/>
  <c r="B36" i="36" a="1"/>
  <c r="E37" i="36" s="1"/>
  <c r="B36" i="36"/>
  <c r="I36" i="36" s="1"/>
  <c r="E36" i="36"/>
  <c r="F36" i="36"/>
  <c r="N36" i="36" a="1"/>
  <c r="N36" i="36" s="1"/>
  <c r="R36" i="36" s="1" a="1"/>
  <c r="R36" i="36" s="1"/>
  <c r="S36" i="36" a="1"/>
  <c r="S36" i="36"/>
  <c r="T36" i="36" a="1"/>
  <c r="T36" i="36" s="1"/>
  <c r="E38" i="36"/>
  <c r="F38" i="36"/>
  <c r="I38" i="36"/>
  <c r="J38" i="36"/>
  <c r="I39" i="36"/>
  <c r="J39" i="36"/>
  <c r="K39" i="36"/>
  <c r="L39" i="36"/>
  <c r="E40" i="36"/>
  <c r="F40" i="36"/>
  <c r="I40" i="36"/>
  <c r="F41" i="36"/>
  <c r="B41" i="36"/>
  <c r="N41" i="36"/>
  <c r="R41" i="36"/>
  <c r="J37" i="36" l="1"/>
  <c r="F39" i="36"/>
  <c r="I37" i="36"/>
  <c r="E39" i="36"/>
  <c r="F37" i="36"/>
  <c r="K38" i="36"/>
  <c r="B44" i="36" a="1"/>
  <c r="J45" i="36" s="1"/>
  <c r="N44" i="36" a="1"/>
  <c r="N44" i="36" s="1"/>
  <c r="N45" i="36"/>
  <c r="I46" i="36"/>
  <c r="B49" i="36"/>
  <c r="R49" i="36"/>
  <c r="T44" i="36" l="1" a="1"/>
  <c r="T44" i="36" s="1"/>
  <c r="B44" i="36"/>
  <c r="S44" i="36" a="1"/>
  <c r="S44" i="36" s="1"/>
  <c r="C50" i="36"/>
  <c r="D50" i="36"/>
  <c r="C51" i="36"/>
  <c r="D51" i="36"/>
  <c r="I44" i="36" l="1"/>
  <c r="I45" i="36"/>
  <c r="R44" i="36" a="1"/>
  <c r="R44" i="36" s="1"/>
  <c r="B51" i="36"/>
  <c r="B50" i="36"/>
  <c r="N3" i="34"/>
  <c r="O3" i="34" s="1"/>
  <c r="P3" i="34" s="1"/>
  <c r="S3" i="34"/>
  <c r="T3" i="34"/>
  <c r="U3" i="34" s="1"/>
  <c r="I5" i="34"/>
  <c r="I6" i="34"/>
  <c r="I7" i="34" s="1"/>
  <c r="I8" i="34" s="1"/>
  <c r="I9" i="34" s="1"/>
  <c r="I10" i="34" s="1"/>
  <c r="I11" i="34" s="1"/>
  <c r="I12" i="34" s="1"/>
  <c r="I13" i="34" s="1"/>
  <c r="I14" i="34" s="1"/>
  <c r="I15" i="34" s="1"/>
  <c r="I16" i="34" s="1"/>
  <c r="I17" i="34" s="1"/>
  <c r="T19" i="35"/>
  <c r="R19" i="35"/>
  <c r="J4" i="34" a="1"/>
  <c r="X19" i="35"/>
  <c r="N19" i="35"/>
  <c r="R23" i="35"/>
  <c r="I8" i="35"/>
  <c r="G24" i="35"/>
  <c r="Y19" i="35"/>
  <c r="X23" i="35"/>
  <c r="G4" i="35" a="1"/>
  <c r="J4" i="34" l="1"/>
  <c r="J10" i="34"/>
  <c r="J5" i="34"/>
  <c r="J12" i="34"/>
  <c r="J13" i="34"/>
  <c r="J9" i="34"/>
  <c r="J11" i="34"/>
  <c r="J14" i="34"/>
  <c r="J15" i="34"/>
  <c r="J6" i="34"/>
  <c r="J8" i="34"/>
  <c r="J7" i="34"/>
  <c r="J16" i="34"/>
  <c r="J17" i="34"/>
  <c r="G4" i="35"/>
  <c r="I18" i="34"/>
  <c r="J18" i="34"/>
  <c r="R4" i="33"/>
  <c r="R5" i="33"/>
  <c r="R6" i="33"/>
  <c r="R7" i="33"/>
  <c r="R8" i="33"/>
  <c r="R9" i="33"/>
  <c r="R10" i="33"/>
  <c r="R11" i="33"/>
  <c r="R12" i="33"/>
  <c r="R13" i="33"/>
  <c r="R14" i="33"/>
  <c r="R15" i="33"/>
  <c r="R16" i="33"/>
  <c r="R17" i="33"/>
  <c r="R18" i="33"/>
  <c r="U19" i="33"/>
  <c r="AE19" i="33"/>
  <c r="M17" i="34"/>
  <c r="Z19" i="33"/>
  <c r="L19" i="33"/>
  <c r="AD19" i="33"/>
  <c r="Q19" i="33"/>
  <c r="G19" i="33"/>
  <c r="P19" i="33"/>
  <c r="O7" i="34" l="1"/>
  <c r="P5" i="34"/>
  <c r="N6" i="34"/>
  <c r="O4" i="34"/>
  <c r="M7" i="34"/>
  <c r="K4" i="35"/>
  <c r="L6" i="35"/>
  <c r="J7" i="35"/>
  <c r="J6" i="35"/>
  <c r="I7" i="35"/>
  <c r="J5" i="35"/>
  <c r="L7" i="35"/>
  <c r="K6" i="35"/>
  <c r="K5" i="35"/>
  <c r="K7" i="35"/>
  <c r="L5" i="35"/>
  <c r="I6" i="35"/>
  <c r="J4" i="35"/>
  <c r="I4" i="35"/>
  <c r="I5" i="35"/>
  <c r="L4" i="35"/>
  <c r="M4" i="34"/>
  <c r="N5" i="34"/>
  <c r="P6" i="34"/>
  <c r="P4" i="34"/>
  <c r="O6" i="34"/>
  <c r="P7" i="34"/>
  <c r="M5" i="34"/>
  <c r="N4" i="34"/>
  <c r="M6" i="34"/>
  <c r="O5" i="34"/>
  <c r="N7" i="34"/>
  <c r="B20" i="33"/>
  <c r="C20" i="33"/>
  <c r="D20" i="33"/>
  <c r="E20" i="33"/>
  <c r="R20" i="33"/>
  <c r="R15" i="34" l="1" a="1"/>
  <c r="R15" i="34" s="1"/>
  <c r="N4" i="35"/>
  <c r="N5" i="35"/>
  <c r="W6" i="35" a="1"/>
  <c r="W6" i="35" s="1"/>
  <c r="Q9" i="35"/>
  <c r="W14" i="35" a="1"/>
  <c r="W14" i="35" s="1"/>
  <c r="Q10" i="35"/>
  <c r="W17" i="35" a="1"/>
  <c r="W17" i="35" s="1"/>
  <c r="Q8" i="35"/>
  <c r="Q17" i="35"/>
  <c r="W8" i="35" a="1"/>
  <c r="W8" i="35" s="1"/>
  <c r="Q12" i="35"/>
  <c r="W10" i="35" a="1"/>
  <c r="W10" i="35" s="1"/>
  <c r="Q11" i="35"/>
  <c r="Q13" i="35"/>
  <c r="Q16" i="35"/>
  <c r="Q7" i="35"/>
  <c r="Q15" i="35"/>
  <c r="Q14" i="35"/>
  <c r="W13" i="35" a="1"/>
  <c r="W13" i="35" s="1"/>
  <c r="Q6" i="35"/>
  <c r="W18" i="35" a="1"/>
  <c r="W18" i="35" s="1"/>
  <c r="Q18" i="35"/>
  <c r="W4" i="35" a="1"/>
  <c r="W4" i="35" s="1"/>
  <c r="W5" i="35" a="1"/>
  <c r="W5" i="35" s="1"/>
  <c r="W7" i="35" a="1"/>
  <c r="W7" i="35" s="1"/>
  <c r="W11" i="35" a="1"/>
  <c r="W11" i="35" s="1"/>
  <c r="Q4" i="35"/>
  <c r="W16" i="35" a="1"/>
  <c r="W16" i="35" s="1"/>
  <c r="W12" i="35" a="1"/>
  <c r="W12" i="35" s="1"/>
  <c r="Q5" i="35"/>
  <c r="W15" i="35" a="1"/>
  <c r="W15" i="35" s="1"/>
  <c r="W9" i="35" a="1"/>
  <c r="W9" i="35" s="1"/>
  <c r="N8" i="35"/>
  <c r="T10" i="35" a="1"/>
  <c r="T10" i="35" s="1"/>
  <c r="T14" i="35" a="1"/>
  <c r="T14" i="35" s="1"/>
  <c r="N17" i="35"/>
  <c r="T18" i="35" a="1"/>
  <c r="T18" i="35" s="1"/>
  <c r="N13" i="35"/>
  <c r="T9" i="35" a="1"/>
  <c r="T9" i="35" s="1"/>
  <c r="N12" i="35"/>
  <c r="T13" i="35" a="1"/>
  <c r="T13" i="35" s="1"/>
  <c r="N16" i="35"/>
  <c r="N11" i="35"/>
  <c r="T17" i="35" a="1"/>
  <c r="T17" i="35" s="1"/>
  <c r="N10" i="35"/>
  <c r="T12" i="35" a="1"/>
  <c r="T12" i="35" s="1"/>
  <c r="N15" i="35"/>
  <c r="N18" i="35"/>
  <c r="T15" i="35" a="1"/>
  <c r="T15" i="35" s="1"/>
  <c r="T5" i="35" a="1"/>
  <c r="T5" i="35" s="1"/>
  <c r="N9" i="35"/>
  <c r="N14" i="35"/>
  <c r="T16" i="35" a="1"/>
  <c r="T16" i="35" s="1"/>
  <c r="T11" i="35" a="1"/>
  <c r="T11" i="35" s="1"/>
  <c r="T6" i="35" a="1"/>
  <c r="T6" i="35" s="1"/>
  <c r="T7" i="35" a="1"/>
  <c r="T7" i="35" s="1"/>
  <c r="T4" i="35" a="1"/>
  <c r="T4" i="35" s="1"/>
  <c r="T8" i="35" a="1"/>
  <c r="T8" i="35" s="1"/>
  <c r="N6" i="35"/>
  <c r="N7" i="35"/>
  <c r="U6" i="35" a="1"/>
  <c r="U6" i="35" s="1"/>
  <c r="O4" i="35"/>
  <c r="O13" i="35"/>
  <c r="U15" i="35" a="1"/>
  <c r="U15" i="35" s="1"/>
  <c r="O17" i="35"/>
  <c r="O8" i="35"/>
  <c r="U10" i="35" a="1"/>
  <c r="U10" i="35" s="1"/>
  <c r="U14" i="35" a="1"/>
  <c r="U14" i="35" s="1"/>
  <c r="U9" i="35" a="1"/>
  <c r="U9" i="35" s="1"/>
  <c r="O12" i="35"/>
  <c r="U18" i="35" a="1"/>
  <c r="U18" i="35" s="1"/>
  <c r="O9" i="35"/>
  <c r="U16" i="35" a="1"/>
  <c r="U16" i="35" s="1"/>
  <c r="U11" i="35" a="1"/>
  <c r="U11" i="35" s="1"/>
  <c r="O18" i="35"/>
  <c r="U8" i="35" a="1"/>
  <c r="U8" i="35" s="1"/>
  <c r="U13" i="35" a="1"/>
  <c r="U13" i="35" s="1"/>
  <c r="O16" i="35"/>
  <c r="O11" i="35"/>
  <c r="U17" i="35" a="1"/>
  <c r="U17" i="35" s="1"/>
  <c r="O6" i="35"/>
  <c r="O10" i="35"/>
  <c r="U12" i="35" a="1"/>
  <c r="U12" i="35" s="1"/>
  <c r="O15" i="35"/>
  <c r="O14" i="35"/>
  <c r="U7" i="35" a="1"/>
  <c r="U7" i="35" s="1"/>
  <c r="O5" i="35"/>
  <c r="U5" i="35" a="1"/>
  <c r="U5" i="35" s="1"/>
  <c r="O7" i="35"/>
  <c r="U4" i="35" a="1"/>
  <c r="U4" i="35" s="1"/>
  <c r="R4" i="34" a="1"/>
  <c r="R4" i="34" s="1"/>
  <c r="T13" i="34" a="1"/>
  <c r="T13" i="34" s="1"/>
  <c r="V11" i="35" a="1"/>
  <c r="V11" i="35" s="1"/>
  <c r="P18" i="35"/>
  <c r="V15" i="35" a="1"/>
  <c r="V15" i="35" s="1"/>
  <c r="V12" i="35" a="1"/>
  <c r="V12" i="35" s="1"/>
  <c r="P4" i="35"/>
  <c r="P7" i="35"/>
  <c r="P13" i="35"/>
  <c r="V5" i="35" a="1"/>
  <c r="V5" i="35" s="1"/>
  <c r="P8" i="35"/>
  <c r="V10" i="35" a="1"/>
  <c r="V10" i="35" s="1"/>
  <c r="V14" i="35" a="1"/>
  <c r="V14" i="35" s="1"/>
  <c r="P17" i="35"/>
  <c r="V18" i="35" a="1"/>
  <c r="V18" i="35" s="1"/>
  <c r="V7" i="35" a="1"/>
  <c r="V7" i="35" s="1"/>
  <c r="V9" i="35" a="1"/>
  <c r="V9" i="35" s="1"/>
  <c r="P12" i="35"/>
  <c r="P10" i="35"/>
  <c r="P15" i="35"/>
  <c r="P9" i="35"/>
  <c r="V16" i="35" a="1"/>
  <c r="V16" i="35" s="1"/>
  <c r="V4" i="35" a="1"/>
  <c r="V4" i="35" s="1"/>
  <c r="V8" i="35" a="1"/>
  <c r="V8" i="35" s="1"/>
  <c r="V13" i="35" a="1"/>
  <c r="V13" i="35" s="1"/>
  <c r="P16" i="35"/>
  <c r="V6" i="35" a="1"/>
  <c r="V6" i="35" s="1"/>
  <c r="P11" i="35"/>
  <c r="V17" i="35" a="1"/>
  <c r="V17" i="35" s="1"/>
  <c r="P6" i="35"/>
  <c r="P5" i="35"/>
  <c r="P14" i="35"/>
  <c r="R7" i="34" a="1"/>
  <c r="R7" i="34" s="1"/>
  <c r="T6" i="34" a="1"/>
  <c r="T6" i="34" s="1"/>
  <c r="R13" i="34" a="1"/>
  <c r="R13" i="34" s="1"/>
  <c r="R12" i="34" a="1"/>
  <c r="R12" i="34" s="1"/>
  <c r="T11" i="34" a="1"/>
  <c r="T11" i="34" s="1"/>
  <c r="S11" i="34" a="1"/>
  <c r="S11" i="34" s="1"/>
  <c r="S16" i="34" a="1"/>
  <c r="S16" i="34" s="1"/>
  <c r="S14" i="34" a="1"/>
  <c r="S14" i="34" s="1"/>
  <c r="S8" i="34" a="1"/>
  <c r="S8" i="34" s="1"/>
  <c r="S9" i="34" a="1"/>
  <c r="S9" i="34" s="1"/>
  <c r="S15" i="34" a="1"/>
  <c r="S15" i="34" s="1"/>
  <c r="S6" i="34" a="1"/>
  <c r="S6" i="34" s="1"/>
  <c r="S10" i="34" a="1"/>
  <c r="S10" i="34" s="1"/>
  <c r="S13" i="34" a="1"/>
  <c r="S13" i="34" s="1"/>
  <c r="S12" i="34" a="1"/>
  <c r="S12" i="34" s="1"/>
  <c r="S4" i="34" a="1"/>
  <c r="S4" i="34" s="1"/>
  <c r="S7" i="34" a="1"/>
  <c r="S7" i="34" s="1"/>
  <c r="S5" i="34" a="1"/>
  <c r="S5" i="34" s="1"/>
  <c r="S18" i="34" a="1"/>
  <c r="S18" i="34" s="1"/>
  <c r="S17" i="34" a="1"/>
  <c r="S17" i="34" s="1"/>
  <c r="R5" i="34" a="1"/>
  <c r="R5" i="34" s="1"/>
  <c r="R9" i="34" a="1"/>
  <c r="R9" i="34" s="1"/>
  <c r="T8" i="34" a="1"/>
  <c r="T8" i="34" s="1"/>
  <c r="R14" i="34" a="1"/>
  <c r="R14" i="34" s="1"/>
  <c r="T15" i="34" a="1"/>
  <c r="T15" i="34" s="1"/>
  <c r="T4" i="34" a="1"/>
  <c r="T4" i="34" s="1"/>
  <c r="R18" i="34" a="1"/>
  <c r="R18" i="34" s="1"/>
  <c r="R8" i="34" a="1"/>
  <c r="R8" i="34" s="1"/>
  <c r="T7" i="34" a="1"/>
  <c r="T7" i="34" s="1"/>
  <c r="T12" i="34" a="1"/>
  <c r="T12" i="34" s="1"/>
  <c r="U7" i="34" a="1"/>
  <c r="U7" i="34" s="1"/>
  <c r="U15" i="34" a="1"/>
  <c r="U15" i="34" s="1"/>
  <c r="U6" i="34" a="1"/>
  <c r="U6" i="34" s="1"/>
  <c r="U10" i="34" a="1"/>
  <c r="U10" i="34" s="1"/>
  <c r="U5" i="34" a="1"/>
  <c r="U5" i="34" s="1"/>
  <c r="U13" i="34" a="1"/>
  <c r="U13" i="34" s="1"/>
  <c r="U12" i="34" a="1"/>
  <c r="U12" i="34" s="1"/>
  <c r="U4" i="34" a="1"/>
  <c r="U4" i="34" s="1"/>
  <c r="U8" i="34" a="1"/>
  <c r="U8" i="34" s="1"/>
  <c r="U16" i="34" a="1"/>
  <c r="U16" i="34" s="1"/>
  <c r="U14" i="34" a="1"/>
  <c r="U14" i="34" s="1"/>
  <c r="U11" i="34" a="1"/>
  <c r="U11" i="34" s="1"/>
  <c r="U9" i="34" a="1"/>
  <c r="U9" i="34" s="1"/>
  <c r="U18" i="34" a="1"/>
  <c r="U18" i="34" s="1"/>
  <c r="U17" i="34" a="1"/>
  <c r="U17" i="34" s="1"/>
  <c r="R10" i="34" a="1"/>
  <c r="R10" i="34" s="1"/>
  <c r="T10" i="34" a="1"/>
  <c r="T10" i="34" s="1"/>
  <c r="T16" i="34" a="1"/>
  <c r="T16" i="34" s="1"/>
  <c r="R17" i="34" a="1"/>
  <c r="R17" i="34" s="1"/>
  <c r="R6" i="34" a="1"/>
  <c r="R6" i="34" s="1"/>
  <c r="T9" i="34" a="1"/>
  <c r="T9" i="34" s="1"/>
  <c r="T17" i="34" a="1"/>
  <c r="T17" i="34" s="1"/>
  <c r="T18" i="34" a="1"/>
  <c r="T18" i="34" s="1"/>
  <c r="R11" i="34" a="1"/>
  <c r="R11" i="34" s="1"/>
  <c r="R16" i="34" a="1"/>
  <c r="R16" i="34" s="1"/>
  <c r="T14" i="34" a="1"/>
  <c r="T14" i="34" s="1"/>
  <c r="T5" i="34" a="1"/>
  <c r="T5" i="34" s="1"/>
  <c r="W4" i="33" a="1"/>
  <c r="W4" i="33" s="1"/>
  <c r="I4" i="33" a="1"/>
  <c r="I4" i="33" s="1"/>
  <c r="G4" i="33" a="1"/>
  <c r="U4" i="33" a="1"/>
  <c r="B21" i="33"/>
  <c r="C21" i="33"/>
  <c r="V4" i="33" s="1" a="1"/>
  <c r="V4" i="33" s="1"/>
  <c r="D21" i="33"/>
  <c r="E21" i="33"/>
  <c r="X4" i="33" s="1" a="1"/>
  <c r="X4" i="33" s="1"/>
  <c r="B22" i="33"/>
  <c r="V11" i="34" l="1"/>
  <c r="V8" i="34"/>
  <c r="V10" i="34"/>
  <c r="V9" i="34"/>
  <c r="V15" i="34"/>
  <c r="X5" i="35"/>
  <c r="Y5" i="35" s="1"/>
  <c r="R8" i="35"/>
  <c r="X11" i="35"/>
  <c r="Y11" i="35" s="1"/>
  <c r="X12" i="35"/>
  <c r="Y12" i="35" s="1"/>
  <c r="R5" i="35"/>
  <c r="X7" i="35"/>
  <c r="Y7" i="35" s="1"/>
  <c r="R14" i="35"/>
  <c r="X6" i="35"/>
  <c r="Y6" i="35" s="1"/>
  <c r="R15" i="35"/>
  <c r="R12" i="35"/>
  <c r="R17" i="35"/>
  <c r="X16" i="35"/>
  <c r="Y16" i="35" s="1"/>
  <c r="R10" i="35"/>
  <c r="R13" i="35"/>
  <c r="X9" i="35"/>
  <c r="Y9" i="35" s="1"/>
  <c r="R7" i="35"/>
  <c r="X17" i="35"/>
  <c r="Y17" i="35" s="1"/>
  <c r="R18" i="35"/>
  <c r="R6" i="35"/>
  <c r="R9" i="35"/>
  <c r="X18" i="35"/>
  <c r="Y18" i="35" s="1"/>
  <c r="R11" i="35"/>
  <c r="X8" i="35"/>
  <c r="Y8" i="35" s="1"/>
  <c r="R16" i="35"/>
  <c r="X14" i="35"/>
  <c r="Y14" i="35" s="1"/>
  <c r="X10" i="35"/>
  <c r="Y10" i="35" s="1"/>
  <c r="V4" i="34"/>
  <c r="X4" i="35"/>
  <c r="X15" i="35"/>
  <c r="Y15" i="35" s="1"/>
  <c r="X13" i="35"/>
  <c r="Y13" i="35" s="1"/>
  <c r="R4" i="35"/>
  <c r="V5" i="34"/>
  <c r="V12" i="34"/>
  <c r="V18" i="34"/>
  <c r="V13" i="34"/>
  <c r="V6" i="34"/>
  <c r="V7" i="34"/>
  <c r="V17" i="34"/>
  <c r="V14" i="34"/>
  <c r="V16" i="34"/>
  <c r="G4" i="33"/>
  <c r="U4" i="33"/>
  <c r="J4" i="33" a="1"/>
  <c r="J4" i="33" s="1"/>
  <c r="H4" i="33" a="1"/>
  <c r="H4" i="33" s="1"/>
  <c r="G22" i="33"/>
  <c r="L14" i="33" s="1"/>
  <c r="H22" i="33"/>
  <c r="L8" i="33" s="1"/>
  <c r="I22" i="33"/>
  <c r="J22" i="33"/>
  <c r="U22" i="33"/>
  <c r="Z15" i="33" s="1"/>
  <c r="V22" i="33"/>
  <c r="W22" i="33"/>
  <c r="Z13" i="33" s="1"/>
  <c r="X22" i="33"/>
  <c r="Z16" i="33" s="1"/>
  <c r="B23" i="33"/>
  <c r="R22" i="35" l="1"/>
  <c r="Y4" i="35"/>
  <c r="X22" i="35"/>
  <c r="M19" i="34"/>
  <c r="Z14" i="33"/>
  <c r="L10" i="33"/>
  <c r="L9" i="33"/>
  <c r="L16" i="33"/>
  <c r="Z9" i="33"/>
  <c r="L12" i="33"/>
  <c r="L17" i="33"/>
  <c r="L6" i="33"/>
  <c r="Z8" i="33"/>
  <c r="Z6" i="33"/>
  <c r="L5" i="33"/>
  <c r="Z18" i="33"/>
  <c r="Z17" i="33"/>
  <c r="L18" i="33"/>
  <c r="Z5" i="33"/>
  <c r="L11" i="33"/>
  <c r="L4" i="33"/>
  <c r="N4" i="33"/>
  <c r="Z10" i="33"/>
  <c r="Z7" i="33"/>
  <c r="Z4" i="33"/>
  <c r="L7" i="33"/>
  <c r="L15" i="33"/>
  <c r="L13" i="33"/>
  <c r="Z12" i="33"/>
  <c r="Z11" i="33"/>
  <c r="G23" i="33"/>
  <c r="H23" i="33"/>
  <c r="M4" i="33" s="1"/>
  <c r="I23" i="33"/>
  <c r="J23" i="33"/>
  <c r="U23" i="33"/>
  <c r="AA4" i="33" s="1"/>
  <c r="V23" i="33"/>
  <c r="W23" i="33"/>
  <c r="X23" i="33"/>
  <c r="G24" i="33"/>
  <c r="H24" i="33"/>
  <c r="I24" i="33"/>
  <c r="J24" i="33"/>
  <c r="U24" i="33"/>
  <c r="V24" i="33"/>
  <c r="W24" i="33"/>
  <c r="X24" i="33"/>
  <c r="G25" i="33"/>
  <c r="H25" i="33"/>
  <c r="I25" i="33"/>
  <c r="J25" i="33"/>
  <c r="P25" i="33"/>
  <c r="AB17" i="33" l="1"/>
  <c r="AB10" i="33"/>
  <c r="AB18" i="33"/>
  <c r="AB8" i="33"/>
  <c r="AB9" i="33"/>
  <c r="AB15" i="33"/>
  <c r="AB5" i="33"/>
  <c r="AB7" i="33"/>
  <c r="AB6" i="33"/>
  <c r="AB14" i="33"/>
  <c r="AB11" i="33"/>
  <c r="AB12" i="33"/>
  <c r="AB13" i="33"/>
  <c r="AB16" i="33"/>
  <c r="M5" i="33"/>
  <c r="P5" i="33" s="1"/>
  <c r="Q5" i="33" s="1"/>
  <c r="M12" i="33"/>
  <c r="P12" i="33" s="1"/>
  <c r="Q12" i="33" s="1"/>
  <c r="M6" i="33"/>
  <c r="P6" i="33" s="1"/>
  <c r="Q6" i="33" s="1"/>
  <c r="M8" i="33"/>
  <c r="P8" i="33" s="1"/>
  <c r="Q8" i="33" s="1"/>
  <c r="M7" i="33"/>
  <c r="P7" i="33" s="1"/>
  <c r="Q7" i="33" s="1"/>
  <c r="M11" i="33"/>
  <c r="M10" i="33"/>
  <c r="M9" i="33"/>
  <c r="P9" i="33" s="1"/>
  <c r="Q9" i="33" s="1"/>
  <c r="M14" i="33"/>
  <c r="M18" i="33"/>
  <c r="M17" i="33"/>
  <c r="P17" i="33" s="1"/>
  <c r="Q17" i="33" s="1"/>
  <c r="M13" i="33"/>
  <c r="P13" i="33" s="1"/>
  <c r="Q13" i="33" s="1"/>
  <c r="M16" i="33"/>
  <c r="P16" i="33" s="1"/>
  <c r="Q16" i="33" s="1"/>
  <c r="M15" i="33"/>
  <c r="AA18" i="33"/>
  <c r="AA9" i="33"/>
  <c r="AA10" i="33"/>
  <c r="AA14" i="33"/>
  <c r="AA11" i="33"/>
  <c r="AA5" i="33"/>
  <c r="AA15" i="33"/>
  <c r="AA7" i="33"/>
  <c r="AA17" i="33"/>
  <c r="AA13" i="33"/>
  <c r="AA8" i="33"/>
  <c r="AA16" i="33"/>
  <c r="AA12" i="33"/>
  <c r="AA6" i="33"/>
  <c r="AB4" i="33"/>
  <c r="O17" i="33"/>
  <c r="O6" i="33"/>
  <c r="O7" i="33"/>
  <c r="O16" i="33"/>
  <c r="O8" i="33"/>
  <c r="O10" i="33"/>
  <c r="P10" i="33" s="1"/>
  <c r="Q10" i="33" s="1"/>
  <c r="O11" i="33"/>
  <c r="P11" i="33" s="1"/>
  <c r="Q11" i="33" s="1"/>
  <c r="O12" i="33"/>
  <c r="O14" i="33"/>
  <c r="O18" i="33"/>
  <c r="O9" i="33"/>
  <c r="O15" i="33"/>
  <c r="O5" i="33"/>
  <c r="O13" i="33"/>
  <c r="N7" i="33"/>
  <c r="N17" i="33"/>
  <c r="N10" i="33"/>
  <c r="N8" i="33"/>
  <c r="N15" i="33"/>
  <c r="N9" i="33"/>
  <c r="N18" i="33"/>
  <c r="P18" i="33" s="1"/>
  <c r="Q18" i="33" s="1"/>
  <c r="N6" i="33"/>
  <c r="N16" i="33"/>
  <c r="N13" i="33"/>
  <c r="N5" i="33"/>
  <c r="N14" i="33"/>
  <c r="N11" i="33"/>
  <c r="N12" i="33"/>
  <c r="P15" i="33"/>
  <c r="Q15" i="33" s="1"/>
  <c r="O4" i="33"/>
  <c r="P4" i="33" s="1"/>
  <c r="U25" i="33"/>
  <c r="V25" i="33"/>
  <c r="W25" i="33"/>
  <c r="X25" i="33"/>
  <c r="AD25" i="33"/>
  <c r="M26" i="33"/>
  <c r="N27" i="33"/>
  <c r="G26" i="33"/>
  <c r="AB27" i="33"/>
  <c r="AA26" i="33"/>
  <c r="U26" i="33"/>
  <c r="Q4" i="33" l="1"/>
  <c r="P24" i="33"/>
  <c r="AD15" i="33"/>
  <c r="AE15" i="33" s="1"/>
  <c r="P14" i="33"/>
  <c r="Q14" i="33" s="1"/>
  <c r="AC7" i="33"/>
  <c r="AD7" i="33" s="1"/>
  <c r="AE7" i="33" s="1"/>
  <c r="AC17" i="33"/>
  <c r="AD17" i="33" s="1"/>
  <c r="AE17" i="33" s="1"/>
  <c r="AC18" i="33"/>
  <c r="AD18" i="33" s="1"/>
  <c r="AE18" i="33" s="1"/>
  <c r="AC12" i="33"/>
  <c r="AD12" i="33" s="1"/>
  <c r="AE12" i="33" s="1"/>
  <c r="AC11" i="33"/>
  <c r="AD11" i="33" s="1"/>
  <c r="AE11" i="33" s="1"/>
  <c r="AC8" i="33"/>
  <c r="AD8" i="33" s="1"/>
  <c r="AE8" i="33" s="1"/>
  <c r="AC13" i="33"/>
  <c r="AC9" i="33"/>
  <c r="AD9" i="33" s="1"/>
  <c r="AE9" i="33" s="1"/>
  <c r="AC14" i="33"/>
  <c r="AD14" i="33" s="1"/>
  <c r="AE14" i="33" s="1"/>
  <c r="AC6" i="33"/>
  <c r="AD6" i="33" s="1"/>
  <c r="AE6" i="33" s="1"/>
  <c r="AC15" i="33"/>
  <c r="AC10" i="33"/>
  <c r="AD10" i="33" s="1"/>
  <c r="AE10" i="33" s="1"/>
  <c r="AC16" i="33"/>
  <c r="AD16" i="33" s="1"/>
  <c r="AE16" i="33" s="1"/>
  <c r="AC5" i="33"/>
  <c r="AD5" i="33" s="1"/>
  <c r="AE5" i="33" s="1"/>
  <c r="AC4" i="33"/>
  <c r="AD4" i="33" s="1"/>
  <c r="AD13" i="33"/>
  <c r="AE13" i="33" s="1"/>
  <c r="E2" i="32" a="1"/>
  <c r="E2" i="32" s="1"/>
  <c r="N2" i="32"/>
  <c r="AS6" i="33" l="1" a="1"/>
  <c r="AS6" i="33" s="1"/>
  <c r="BC6" i="33" a="1"/>
  <c r="BC6" i="33" s="1"/>
  <c r="AW6" i="33" a="1"/>
  <c r="AW6" i="33" s="1"/>
  <c r="BD6" i="33" a="1"/>
  <c r="BD6" i="33" s="1"/>
  <c r="BB6" i="33" a="1"/>
  <c r="BB6" i="33" s="1"/>
  <c r="AF6" i="33" a="1"/>
  <c r="AF6" i="33" s="1"/>
  <c r="BA6" i="33" a="1"/>
  <c r="BA6" i="33" s="1"/>
  <c r="AO6" i="33" a="1"/>
  <c r="AO6" i="33" s="1"/>
  <c r="AO8" i="33" a="1"/>
  <c r="AO8" i="33" s="1"/>
  <c r="BB8" i="33" a="1"/>
  <c r="BB8" i="33" s="1"/>
  <c r="BA8" i="33" a="1"/>
  <c r="BA8" i="33" s="1"/>
  <c r="AS8" i="33" a="1"/>
  <c r="BC8" i="33" a="1"/>
  <c r="BC8" i="33" s="1"/>
  <c r="AW8" i="33" a="1"/>
  <c r="AW8" i="33" s="1"/>
  <c r="BD8" i="33" a="1"/>
  <c r="BD8" i="33" s="1"/>
  <c r="AF8" i="33" a="1"/>
  <c r="AF8" i="33" s="1"/>
  <c r="AS12" i="33" a="1"/>
  <c r="AS12" i="33" s="1"/>
  <c r="BC12" i="33" a="1"/>
  <c r="BC12" i="33" s="1"/>
  <c r="AO12" i="33" a="1"/>
  <c r="AO12" i="33" s="1"/>
  <c r="AW12" i="33" a="1"/>
  <c r="AW12" i="33" s="1"/>
  <c r="BD12" i="33" a="1"/>
  <c r="BD12" i="33" s="1"/>
  <c r="BB12" i="33" a="1"/>
  <c r="BB12" i="33" s="1"/>
  <c r="AF12" i="33" a="1"/>
  <c r="AF12" i="33" s="1"/>
  <c r="BA12" i="33" a="1"/>
  <c r="BA12" i="33" s="1"/>
  <c r="AP5" i="33"/>
  <c r="BD5" i="33" a="1"/>
  <c r="BD5" i="33" s="1"/>
  <c r="AQ5" i="33"/>
  <c r="BB5" i="33" a="1"/>
  <c r="BB5" i="33" s="1"/>
  <c r="AR5" i="33"/>
  <c r="AR21" i="33" s="1"/>
  <c r="AO5" i="33" a="1"/>
  <c r="AO5" i="33" s="1"/>
  <c r="BA5" i="33" a="1"/>
  <c r="BA5" i="33" s="1"/>
  <c r="AS5" i="33" a="1"/>
  <c r="AS5" i="33" s="1"/>
  <c r="BC5" i="33" a="1"/>
  <c r="BC5" i="33" s="1"/>
  <c r="AW5" i="33" a="1"/>
  <c r="AF5" i="33" a="1"/>
  <c r="AF5" i="33" s="1"/>
  <c r="AF16" i="33" a="1"/>
  <c r="AF16" i="33" s="1"/>
  <c r="BA16" i="33" a="1"/>
  <c r="BA16" i="33" s="1"/>
  <c r="AO16" i="33" a="1"/>
  <c r="AO16" i="33" s="1"/>
  <c r="AW16" i="33" a="1"/>
  <c r="AW16" i="33" s="1"/>
  <c r="AS16" i="33" a="1"/>
  <c r="AS16" i="33" s="1"/>
  <c r="AW11" i="33" a="1"/>
  <c r="AW11" i="33" s="1"/>
  <c r="AO11" i="33" a="1"/>
  <c r="AO11" i="33" s="1"/>
  <c r="BB11" i="33" a="1"/>
  <c r="BB11" i="33" s="1"/>
  <c r="AS11" i="33" a="1"/>
  <c r="AS11" i="33" s="1"/>
  <c r="BC11" i="33" a="1"/>
  <c r="BC11" i="33" s="1"/>
  <c r="BD11" i="33" a="1"/>
  <c r="BD11" i="33" s="1"/>
  <c r="AF11" i="33" a="1"/>
  <c r="AF11" i="33" s="1"/>
  <c r="BA11" i="33" a="1"/>
  <c r="BA11" i="33" s="1"/>
  <c r="AO15" i="33" a="1"/>
  <c r="AO15" i="33" s="1"/>
  <c r="AZ15" i="33"/>
  <c r="AF15" i="33" a="1"/>
  <c r="AF15" i="33" s="1"/>
  <c r="BA15" i="33" a="1"/>
  <c r="BA15" i="33" s="1"/>
  <c r="AS15" i="33" a="1"/>
  <c r="AS15" i="33" s="1"/>
  <c r="AX15" i="33"/>
  <c r="AW15" i="33" a="1"/>
  <c r="AW15" i="33" s="1"/>
  <c r="AY15" i="33"/>
  <c r="AW17" i="33" a="1"/>
  <c r="AW17" i="33" s="1"/>
  <c r="AS17" i="33" a="1"/>
  <c r="AS17" i="33" s="1"/>
  <c r="AO17" i="33" a="1"/>
  <c r="AO17" i="33" s="1"/>
  <c r="BA17" i="33" a="1"/>
  <c r="BA17" i="33" s="1"/>
  <c r="AX17" i="33"/>
  <c r="AP17" i="33"/>
  <c r="AY17" i="33"/>
  <c r="AQ17" i="33"/>
  <c r="AZ17" i="33"/>
  <c r="AR17" i="33"/>
  <c r="AF17" i="33" a="1"/>
  <c r="AF17" i="33" s="1"/>
  <c r="AP18" i="33"/>
  <c r="AW18" i="33" a="1"/>
  <c r="AW18" i="33" s="1"/>
  <c r="AT18" i="33"/>
  <c r="AQ18" i="33"/>
  <c r="AR18" i="33"/>
  <c r="BA18" i="33" a="1"/>
  <c r="BA18" i="33" s="1"/>
  <c r="AO18" i="33" a="1"/>
  <c r="AO18" i="33" s="1"/>
  <c r="AU18" i="33"/>
  <c r="AS18" i="33" a="1"/>
  <c r="AS18" i="33" s="1"/>
  <c r="AF18" i="33" a="1"/>
  <c r="AF18" i="33" s="1"/>
  <c r="AV18" i="33"/>
  <c r="AF7" i="33" a="1"/>
  <c r="AF7" i="33" s="1"/>
  <c r="BA7" i="33" a="1"/>
  <c r="BA7" i="33" s="1"/>
  <c r="AS7" i="33" a="1"/>
  <c r="AS7" i="33" s="1"/>
  <c r="AO7" i="33" a="1"/>
  <c r="AO7" i="33" s="1"/>
  <c r="BB7" i="33" a="1"/>
  <c r="BB7" i="33" s="1"/>
  <c r="BC7" i="33" a="1"/>
  <c r="BC7" i="33" s="1"/>
  <c r="AW7" i="33" a="1"/>
  <c r="AW7" i="33" s="1"/>
  <c r="BD7" i="33" a="1"/>
  <c r="BD7" i="33" s="1"/>
  <c r="AW10" i="33" a="1"/>
  <c r="AW10" i="33" s="1"/>
  <c r="BD10" i="33" a="1"/>
  <c r="BD10" i="33" s="1"/>
  <c r="AS10" i="33" a="1"/>
  <c r="AS10" i="33" s="1"/>
  <c r="AF10" i="33" a="1"/>
  <c r="AF10" i="33" s="1"/>
  <c r="BA10" i="33" a="1"/>
  <c r="BA10" i="33" s="1"/>
  <c r="BC10" i="33" a="1"/>
  <c r="BC10" i="33" s="1"/>
  <c r="AO10" i="33" a="1"/>
  <c r="AO10" i="33" s="1"/>
  <c r="BB10" i="33" a="1"/>
  <c r="BB10" i="33" s="1"/>
  <c r="M22" i="33"/>
  <c r="N22" i="33" s="1"/>
  <c r="M23" i="33"/>
  <c r="N23" i="33" s="1"/>
  <c r="M25" i="33"/>
  <c r="N25" i="33" s="1"/>
  <c r="M24" i="33"/>
  <c r="N24" i="33" s="1"/>
  <c r="AO14" i="33" a="1"/>
  <c r="AO14" i="33" s="1"/>
  <c r="AZ14" i="33"/>
  <c r="BA14" i="33" a="1"/>
  <c r="BA14" i="33" s="1"/>
  <c r="BC14" i="33" a="1"/>
  <c r="BC14" i="33" s="1"/>
  <c r="AS14" i="33" a="1"/>
  <c r="AS14" i="33" s="1"/>
  <c r="AF14" i="33" a="1"/>
  <c r="AF14" i="33" s="1"/>
  <c r="BB14" i="33" a="1"/>
  <c r="BB14" i="33" s="1"/>
  <c r="AX14" i="33"/>
  <c r="AW14" i="33" a="1"/>
  <c r="AW14" i="33" s="1"/>
  <c r="BD14" i="33" a="1"/>
  <c r="BD14" i="33" s="1"/>
  <c r="AY14" i="33"/>
  <c r="AO9" i="33" a="1"/>
  <c r="AO9" i="33" s="1"/>
  <c r="AW9" i="33" a="1"/>
  <c r="AW9" i="33" s="1"/>
  <c r="AF9" i="33" a="1"/>
  <c r="AF9" i="33" s="1"/>
  <c r="BA9" i="33" a="1"/>
  <c r="BA9" i="33" s="1"/>
  <c r="AS9" i="33" a="1"/>
  <c r="AS9" i="33" s="1"/>
  <c r="AF13" i="33" a="1"/>
  <c r="AF13" i="33" s="1"/>
  <c r="BA13" i="33" a="1"/>
  <c r="BA13" i="33" s="1"/>
  <c r="AO13" i="33" a="1"/>
  <c r="AO13" i="33" s="1"/>
  <c r="BB13" i="33" a="1"/>
  <c r="BB13" i="33" s="1"/>
  <c r="BC13" i="33" a="1"/>
  <c r="BC13" i="33" s="1"/>
  <c r="AS13" i="33" a="1"/>
  <c r="AS13" i="33" s="1"/>
  <c r="BD13" i="33" a="1"/>
  <c r="BD13" i="33" s="1"/>
  <c r="AW13" i="33" a="1"/>
  <c r="AW13" i="33" s="1"/>
  <c r="AE4" i="33"/>
  <c r="AD24" i="33"/>
  <c r="M2" i="32"/>
  <c r="M3" i="32"/>
  <c r="M4" i="32"/>
  <c r="E10" i="32" a="1"/>
  <c r="E10" i="32" s="1"/>
  <c r="U3" i="32"/>
  <c r="N4" i="32"/>
  <c r="U2" i="32"/>
  <c r="N10" i="32"/>
  <c r="N3" i="32"/>
  <c r="E7" i="32"/>
  <c r="P7" i="32"/>
  <c r="AS8" i="33" l="1"/>
  <c r="AT21" i="33"/>
  <c r="AU21" i="33"/>
  <c r="AV21" i="33"/>
  <c r="AQ21" i="33"/>
  <c r="AF4" i="33" a="1"/>
  <c r="AF4" i="33" s="1"/>
  <c r="AS4" i="33" a="1"/>
  <c r="AS4" i="33" s="1"/>
  <c r="AS21" i="33" s="1"/>
  <c r="AV22" i="33" s="1"/>
  <c r="BA4" i="33" a="1"/>
  <c r="AO4" i="33" a="1"/>
  <c r="AO4" i="33" s="1"/>
  <c r="AO21" i="33" s="1"/>
  <c r="AW4" i="33" a="1"/>
  <c r="AW4" i="33" s="1"/>
  <c r="AA22" i="33"/>
  <c r="AB22" i="33"/>
  <c r="AA24" i="33"/>
  <c r="AB24" i="33" s="1"/>
  <c r="AA23" i="33"/>
  <c r="AB23" i="33" s="1"/>
  <c r="AA25" i="33"/>
  <c r="AB25" i="33" s="1"/>
  <c r="AW5" i="33"/>
  <c r="AX21" i="33"/>
  <c r="AZ21" i="33"/>
  <c r="AY21" i="33"/>
  <c r="AP21" i="33"/>
  <c r="M10" i="32"/>
  <c r="M11" i="32"/>
  <c r="I11" i="32" s="1"/>
  <c r="J11" i="32" s="1"/>
  <c r="P11" i="32"/>
  <c r="N11" i="32"/>
  <c r="BA4" i="33" l="1"/>
  <c r="BA21" i="33" s="1"/>
  <c r="BB21" i="33"/>
  <c r="BC21" i="33"/>
  <c r="BD21" i="33"/>
  <c r="AW21" i="33"/>
  <c r="AZ22" i="33" s="1"/>
  <c r="AR22" i="33"/>
  <c r="I10" i="32"/>
  <c r="J10" i="32" s="1"/>
  <c r="I12" i="32"/>
  <c r="J12" i="32"/>
  <c r="I13" i="32"/>
  <c r="J13" i="32" s="1"/>
  <c r="P13" i="32"/>
  <c r="I14" i="32"/>
  <c r="J14" i="32"/>
  <c r="E18" i="32" a="1"/>
  <c r="E18" i="32" s="1"/>
  <c r="J16" i="32"/>
  <c r="N18" i="32"/>
  <c r="E15" i="32"/>
  <c r="I15" i="32"/>
  <c r="P14" i="32"/>
  <c r="BD22" i="33" l="1"/>
  <c r="M18" i="32"/>
  <c r="M19" i="32"/>
  <c r="N19" i="32"/>
  <c r="I18" i="32" l="1"/>
  <c r="J18" i="32" s="1"/>
  <c r="I19" i="32"/>
  <c r="J19" i="32" s="1"/>
  <c r="I20" i="32"/>
  <c r="J20" i="32"/>
  <c r="I21" i="32"/>
  <c r="J21" i="32"/>
  <c r="I22" i="32"/>
  <c r="J22" i="32" s="1"/>
  <c r="J24" i="32"/>
  <c r="I23" i="32"/>
  <c r="E23" i="32"/>
  <c r="P2" i="32" l="1" a="1"/>
  <c r="P2" i="32" l="1"/>
  <c r="T3" i="32" s="1"/>
  <c r="P10" i="32" s="1"/>
  <c r="T2" i="32"/>
  <c r="F2" i="29" a="1"/>
  <c r="F2" i="29" s="1"/>
  <c r="L7" i="29" a="1"/>
  <c r="L7" i="29" s="1"/>
  <c r="F8" i="29" a="1"/>
  <c r="F8" i="29" s="1"/>
  <c r="D14" i="29" a="1"/>
  <c r="D14" i="29" s="1"/>
  <c r="A14" i="29" s="1" a="1"/>
  <c r="A14" i="29" s="1"/>
  <c r="C2" i="28"/>
  <c r="A17" i="29"/>
  <c r="V28" i="29" a="1"/>
  <c r="V22" i="29" a="1"/>
  <c r="J22" i="29" a="1"/>
  <c r="F31" i="29"/>
  <c r="V31" i="29"/>
  <c r="F11" i="29"/>
  <c r="J25" i="29"/>
  <c r="F5" i="29"/>
  <c r="R25" i="29"/>
  <c r="F25" i="29"/>
  <c r="S38" i="29"/>
  <c r="V25" i="29"/>
  <c r="L10" i="29"/>
  <c r="F22" i="29" a="1"/>
  <c r="R32" i="29"/>
  <c r="D17" i="29"/>
  <c r="R22" i="29" a="1"/>
  <c r="F22" i="29" l="1"/>
  <c r="R22" i="29"/>
  <c r="S35" i="29" s="1" a="1"/>
  <c r="S35" i="29" s="1"/>
  <c r="J22" i="29"/>
  <c r="F28" i="29" s="1" a="1"/>
  <c r="F28" i="29" s="1"/>
  <c r="V22" i="29"/>
  <c r="V28" i="29"/>
  <c r="F2" i="28" a="1"/>
  <c r="F2" i="28" s="1"/>
  <c r="C3" i="28"/>
  <c r="G2" i="28" s="1" a="1"/>
  <c r="G2" i="28" s="1"/>
  <c r="I3" i="28" a="1"/>
  <c r="I3" i="28"/>
  <c r="C4" i="28"/>
  <c r="H2" i="28" s="1" a="1"/>
  <c r="H2" i="28" s="1"/>
  <c r="F4" i="28" a="1"/>
  <c r="F4" i="28" s="1"/>
  <c r="I4" i="28" a="1"/>
  <c r="I4" i="28"/>
  <c r="J4" i="28" a="1"/>
  <c r="J4" i="28" s="1"/>
  <c r="N4" i="28" a="1"/>
  <c r="N4" i="28" s="1"/>
  <c r="R4" i="28" a="1"/>
  <c r="R4" i="28" s="1"/>
  <c r="C5" i="28"/>
  <c r="I2" i="28" s="1" a="1"/>
  <c r="I2" i="28" s="1"/>
  <c r="F5" i="28" a="1"/>
  <c r="F5" i="28"/>
  <c r="I5" i="28" a="1"/>
  <c r="I5" i="28"/>
  <c r="C6" i="28"/>
  <c r="J2" i="28" s="1" a="1"/>
  <c r="J2" i="28" s="1"/>
  <c r="F6" i="28" a="1"/>
  <c r="F6" i="28"/>
  <c r="G6" i="28" a="1"/>
  <c r="G6" i="28" s="1"/>
  <c r="K6" i="28" a="1"/>
  <c r="K6" i="28" s="1"/>
  <c r="C7" i="28"/>
  <c r="K2" i="28" s="1" a="1"/>
  <c r="K2" i="28" s="1"/>
  <c r="F7" i="28" a="1"/>
  <c r="F7" i="28"/>
  <c r="G7" i="28" a="1"/>
  <c r="G7" i="28"/>
  <c r="C8" i="28"/>
  <c r="L2" i="28" s="1" a="1"/>
  <c r="L2" i="28" s="1"/>
  <c r="F8" i="28" a="1"/>
  <c r="F8" i="28" s="1"/>
  <c r="H8" i="28" a="1"/>
  <c r="H8" i="28" s="1"/>
  <c r="L8" i="28" a="1"/>
  <c r="L8" i="28" s="1"/>
  <c r="C9" i="28"/>
  <c r="M2" i="28" s="1" a="1"/>
  <c r="M2" i="28" s="1"/>
  <c r="C10" i="28"/>
  <c r="N2" i="28" s="1" a="1"/>
  <c r="N2" i="28" s="1"/>
  <c r="I10" i="28" a="1"/>
  <c r="I10" i="28" s="1"/>
  <c r="M10" i="28" a="1"/>
  <c r="M10" i="28" s="1"/>
  <c r="C11" i="28"/>
  <c r="O2" i="28" s="1" a="1"/>
  <c r="O2" i="28" s="1"/>
  <c r="I11" i="28" a="1"/>
  <c r="I11" i="28"/>
  <c r="C12" i="28"/>
  <c r="P2" i="28" s="1" a="1"/>
  <c r="P2" i="28" s="1"/>
  <c r="F12" i="28" a="1"/>
  <c r="F12" i="28" s="1"/>
  <c r="H12" i="28" a="1"/>
  <c r="H12" i="28" s="1"/>
  <c r="J12" i="28" a="1"/>
  <c r="J12" i="28" s="1"/>
  <c r="C13" i="28"/>
  <c r="Q2" i="28" s="1" a="1"/>
  <c r="Q2" i="28" s="1"/>
  <c r="F13" i="28" a="1"/>
  <c r="F13" i="28"/>
  <c r="J13" i="28" a="1"/>
  <c r="J13" i="28"/>
  <c r="C14" i="28"/>
  <c r="R2" i="28" s="1" a="1"/>
  <c r="R2" i="28" s="1"/>
  <c r="C15" i="28"/>
  <c r="R3" i="28" s="1" a="1"/>
  <c r="R3" i="28" s="1"/>
  <c r="C16" i="28"/>
  <c r="M9" i="28" s="1" a="1"/>
  <c r="M9" i="28" s="1"/>
  <c r="C17" i="28"/>
  <c r="P7" i="28" s="1" a="1"/>
  <c r="P7" i="28" s="1"/>
  <c r="R29" i="29" l="1" a="1"/>
  <c r="R29" i="29" s="1"/>
  <c r="L9" i="28" a="1"/>
  <c r="L9" i="28" s="1"/>
  <c r="H9" i="28" a="1"/>
  <c r="H9" i="28" s="1"/>
  <c r="O7" i="28" a="1"/>
  <c r="O7" i="28" s="1"/>
  <c r="K7" i="28" a="1"/>
  <c r="K7" i="28" s="1"/>
  <c r="R5" i="28" a="1"/>
  <c r="R5" i="28" s="1"/>
  <c r="N5" i="28" a="1"/>
  <c r="N5" i="28" s="1"/>
  <c r="J5" i="28" a="1"/>
  <c r="J5" i="28" s="1"/>
  <c r="Q3" i="28" a="1"/>
  <c r="Q3" i="28" s="1"/>
  <c r="M3" i="28" a="1"/>
  <c r="M3" i="28" s="1"/>
  <c r="L10" i="28" a="1"/>
  <c r="L10" i="28" s="1"/>
  <c r="H10" i="28" a="1"/>
  <c r="H10" i="28" s="1"/>
  <c r="O8" i="28" a="1"/>
  <c r="O8" i="28" s="1"/>
  <c r="K8" i="28" a="1"/>
  <c r="K8" i="28" s="1"/>
  <c r="G8" i="28" a="1"/>
  <c r="G8" i="28" s="1"/>
  <c r="N6" i="28" a="1"/>
  <c r="N6" i="28" s="1"/>
  <c r="J6" i="28" a="1"/>
  <c r="J6" i="28" s="1"/>
  <c r="Q4" i="28" a="1"/>
  <c r="Q4" i="28" s="1"/>
  <c r="M4" i="28" a="1"/>
  <c r="M4" i="28" s="1"/>
  <c r="L11" i="28" a="1"/>
  <c r="L11" i="28" s="1"/>
  <c r="H11" i="28" a="1"/>
  <c r="H11" i="28" s="1"/>
  <c r="K9" i="28" a="1"/>
  <c r="K9" i="28" s="1"/>
  <c r="G9" i="28" a="1"/>
  <c r="G9" i="28" s="1"/>
  <c r="N7" i="28" a="1"/>
  <c r="N7" i="28" s="1"/>
  <c r="J7" i="28" a="1"/>
  <c r="J7" i="28" s="1"/>
  <c r="Q5" i="28" a="1"/>
  <c r="Q5" i="28" s="1"/>
  <c r="M5" i="28" a="1"/>
  <c r="M5" i="28" s="1"/>
  <c r="P3" i="28" a="1"/>
  <c r="P3" i="28" s="1"/>
  <c r="L3" i="28" a="1"/>
  <c r="L3" i="28" s="1"/>
  <c r="H3" i="28" a="1"/>
  <c r="H3" i="28" s="1"/>
  <c r="I12" i="28" a="1"/>
  <c r="I12" i="28" s="1"/>
  <c r="I13" i="28" a="1"/>
  <c r="I13" i="28" s="1"/>
  <c r="K10" i="28" a="1"/>
  <c r="K10" i="28" s="1"/>
  <c r="G10" i="28" a="1"/>
  <c r="G10" i="28" s="1"/>
  <c r="N8" i="28" a="1"/>
  <c r="N8" i="28" s="1"/>
  <c r="J8" i="28" a="1"/>
  <c r="J8" i="28" s="1"/>
  <c r="Q6" i="28" a="1"/>
  <c r="Q6" i="28" s="1"/>
  <c r="M6" i="28" a="1"/>
  <c r="M6" i="28" s="1"/>
  <c r="I6" i="28" a="1"/>
  <c r="I6" i="28" s="1"/>
  <c r="P4" i="28" a="1"/>
  <c r="P4" i="28" s="1"/>
  <c r="L4" i="28" a="1"/>
  <c r="L4" i="28" s="1"/>
  <c r="H4" i="28" a="1"/>
  <c r="H4" i="28" s="1"/>
  <c r="H13" i="28" a="1"/>
  <c r="H13" i="28" s="1"/>
  <c r="K11" i="28" a="1"/>
  <c r="K11" i="28" s="1"/>
  <c r="G11" i="28" a="1"/>
  <c r="G11" i="28" s="1"/>
  <c r="N9" i="28" a="1"/>
  <c r="N9" i="28" s="1"/>
  <c r="J9" i="28" a="1"/>
  <c r="J9" i="28" s="1"/>
  <c r="F9" i="28" a="1"/>
  <c r="F9" i="28" s="1"/>
  <c r="M7" i="28" a="1"/>
  <c r="M7" i="28" s="1"/>
  <c r="I7" i="28" a="1"/>
  <c r="I7" i="28" s="1"/>
  <c r="P5" i="28" a="1"/>
  <c r="P5" i="28" s="1"/>
  <c r="L5" i="28" a="1"/>
  <c r="L5" i="28" s="1"/>
  <c r="H5" i="28" a="1"/>
  <c r="H5" i="28" s="1"/>
  <c r="O3" i="28" a="1"/>
  <c r="O3" i="28" s="1"/>
  <c r="K3" i="28" a="1"/>
  <c r="K3" i="28" s="1"/>
  <c r="G3" i="28" a="1"/>
  <c r="G3" i="28" s="1"/>
  <c r="O6" i="28" a="1"/>
  <c r="O6" i="28" s="1"/>
  <c r="K12" i="28" a="1"/>
  <c r="K12" i="28" s="1"/>
  <c r="G12" i="28" a="1"/>
  <c r="G12" i="28" s="1"/>
  <c r="J10" i="28" a="1"/>
  <c r="J10" i="28" s="1"/>
  <c r="F10" i="28" a="1"/>
  <c r="F10" i="28" s="1"/>
  <c r="M8" i="28" a="1"/>
  <c r="M8" i="28" s="1"/>
  <c r="I8" i="28" a="1"/>
  <c r="I8" i="28" s="1"/>
  <c r="P6" i="28" a="1"/>
  <c r="P6" i="28" s="1"/>
  <c r="L6" i="28" a="1"/>
  <c r="L6" i="28" s="1"/>
  <c r="H6" i="28" a="1"/>
  <c r="H6" i="28" s="1"/>
  <c r="O4" i="28" a="1"/>
  <c r="O4" i="28" s="1"/>
  <c r="K4" i="28" a="1"/>
  <c r="K4" i="28" s="1"/>
  <c r="G4" i="28" a="1"/>
  <c r="G4" i="28" s="1"/>
  <c r="G13" i="28" a="1"/>
  <c r="G13" i="28" s="1"/>
  <c r="J11" i="28" a="1"/>
  <c r="J11" i="28" s="1"/>
  <c r="F11" i="28" a="1"/>
  <c r="F11" i="28" s="1"/>
  <c r="I9" i="28" a="1"/>
  <c r="I9" i="28" s="1"/>
  <c r="L7" i="28" a="1"/>
  <c r="L7" i="28" s="1"/>
  <c r="H7" i="28" a="1"/>
  <c r="H7" i="28" s="1"/>
  <c r="O5" i="28" a="1"/>
  <c r="O5" i="28" s="1"/>
  <c r="K5" i="28" a="1"/>
  <c r="K5" i="28" s="1"/>
  <c r="G5" i="28" a="1"/>
  <c r="G5" i="28" s="1"/>
  <c r="N3" i="28" a="1"/>
  <c r="N3" i="28" s="1"/>
  <c r="J3" i="28" a="1"/>
  <c r="J3" i="28" s="1"/>
  <c r="F3" i="28" a="1"/>
  <c r="F3" i="28" s="1"/>
  <c r="C18" i="28"/>
  <c r="C19" i="28"/>
  <c r="C20" i="28"/>
  <c r="C21" i="28"/>
  <c r="C22" i="28"/>
  <c r="C23" i="28"/>
  <c r="C24" i="28"/>
  <c r="C25" i="28"/>
  <c r="R13" i="28" s="1" a="1"/>
  <c r="R13" i="28" s="1"/>
  <c r="R12" i="28" l="1" a="1"/>
  <c r="R12" i="28" s="1"/>
  <c r="Q13" i="28" a="1"/>
  <c r="Q13" i="28" s="1"/>
  <c r="R11" i="28" a="1"/>
  <c r="R11" i="28" s="1"/>
  <c r="P13" i="28" a="1"/>
  <c r="P13" i="28" s="1"/>
  <c r="Q12" i="28" a="1"/>
  <c r="Q12" i="28" s="1"/>
  <c r="K13" i="28" a="1"/>
  <c r="K13" i="28" s="1"/>
  <c r="M11" i="28" a="1"/>
  <c r="M11" i="28" s="1"/>
  <c r="N10" i="28" a="1"/>
  <c r="N10" i="28" s="1"/>
  <c r="Q7" i="28" a="1"/>
  <c r="Q7" i="28" s="1"/>
  <c r="P8" i="28" a="1"/>
  <c r="P8" i="28" s="1"/>
  <c r="L12" i="28" a="1"/>
  <c r="L12" i="28" s="1"/>
  <c r="O9" i="28" a="1"/>
  <c r="O9" i="28" s="1"/>
  <c r="R6" i="28" a="1"/>
  <c r="R6" i="28" s="1"/>
  <c r="N11" i="28" a="1"/>
  <c r="N11" i="28" s="1"/>
  <c r="Q8" i="28" a="1"/>
  <c r="Q8" i="28" s="1"/>
  <c r="L13" i="28" a="1"/>
  <c r="L13" i="28" s="1"/>
  <c r="O10" i="28" a="1"/>
  <c r="O10" i="28" s="1"/>
  <c r="M12" i="28" a="1"/>
  <c r="M12" i="28" s="1"/>
  <c r="R7" i="28" a="1"/>
  <c r="R7" i="28" s="1"/>
  <c r="P9" i="28" a="1"/>
  <c r="P9" i="28" s="1"/>
  <c r="Q9" i="28" a="1"/>
  <c r="Q9" i="28" s="1"/>
  <c r="N12" i="28" a="1"/>
  <c r="N12" i="28" s="1"/>
  <c r="O11" i="28" a="1"/>
  <c r="O11" i="28" s="1"/>
  <c r="R8" i="28" a="1"/>
  <c r="R8" i="28" s="1"/>
  <c r="M13" i="28" a="1"/>
  <c r="M13" i="28" s="1"/>
  <c r="P10" i="28" a="1"/>
  <c r="P10" i="28" s="1"/>
  <c r="O12" i="28" a="1"/>
  <c r="O12" i="28" s="1"/>
  <c r="R9" i="28" a="1"/>
  <c r="R9" i="28" s="1"/>
  <c r="Q10" i="28" a="1"/>
  <c r="Q10" i="28" s="1"/>
  <c r="P11" i="28" a="1"/>
  <c r="P11" i="28" s="1"/>
  <c r="N13" i="28" a="1"/>
  <c r="N13" i="28" s="1"/>
  <c r="O13" i="28" a="1"/>
  <c r="O13" i="28" s="1"/>
  <c r="R10" i="28" a="1"/>
  <c r="R10" i="28" s="1"/>
  <c r="P12" i="28" a="1"/>
  <c r="P12" i="28" s="1"/>
  <c r="Q11" i="28" a="1"/>
  <c r="Q11" i="28" s="1"/>
  <c r="I1" i="28"/>
  <c r="M1" i="28" s="1"/>
  <c r="T17" i="28" a="1"/>
  <c r="T2" i="28" a="1"/>
  <c r="D45" i="28"/>
  <c r="T17" i="28" l="1"/>
  <c r="T2" i="28"/>
  <c r="C2" i="25" l="1"/>
  <c r="F2" i="25" l="1" a="1"/>
  <c r="F2" i="25" s="1"/>
  <c r="C3" i="25"/>
  <c r="G2" i="25" s="1" a="1"/>
  <c r="G2" i="25" s="1"/>
  <c r="F3" i="25" a="1"/>
  <c r="F3" i="25" s="1"/>
  <c r="I3" i="25" a="1"/>
  <c r="I3" i="25" s="1"/>
  <c r="J3" i="25" a="1"/>
  <c r="J3" i="25" s="1"/>
  <c r="N3" i="25" a="1"/>
  <c r="N3" i="25" s="1"/>
  <c r="R3" i="25" a="1"/>
  <c r="R3" i="25" s="1"/>
  <c r="C4" i="25"/>
  <c r="H2" i="25" s="1" a="1"/>
  <c r="H2" i="25" s="1"/>
  <c r="F4" i="25" a="1"/>
  <c r="F4" i="25" s="1"/>
  <c r="G4" i="25" a="1"/>
  <c r="G4" i="25" s="1"/>
  <c r="I4" i="25" a="1"/>
  <c r="I4" i="25" s="1"/>
  <c r="J4" i="25" a="1"/>
  <c r="J4" i="25" s="1"/>
  <c r="K4" i="25" a="1"/>
  <c r="K4" i="25" s="1"/>
  <c r="M4" i="25" a="1"/>
  <c r="M4" i="25" s="1"/>
  <c r="N4" i="25" a="1"/>
  <c r="N4" i="25" s="1"/>
  <c r="O4" i="25" a="1"/>
  <c r="O4" i="25" s="1"/>
  <c r="Q4" i="25" a="1"/>
  <c r="Q4" i="25" s="1"/>
  <c r="C5" i="25"/>
  <c r="I2" i="25" s="1" a="1"/>
  <c r="I2" i="25" s="1"/>
  <c r="F5" i="25" a="1"/>
  <c r="F5" i="25" s="1"/>
  <c r="G5" i="25" a="1"/>
  <c r="G5" i="25" s="1"/>
  <c r="H5" i="25" a="1"/>
  <c r="H5" i="25" s="1"/>
  <c r="I5" i="25" a="1"/>
  <c r="I5" i="25" s="1"/>
  <c r="J5" i="25" a="1"/>
  <c r="J5" i="25" s="1"/>
  <c r="K5" i="25" a="1"/>
  <c r="K5" i="25" s="1"/>
  <c r="L5" i="25" a="1"/>
  <c r="L5" i="25" s="1"/>
  <c r="M5" i="25" a="1"/>
  <c r="M5" i="25" s="1"/>
  <c r="N5" i="25" a="1"/>
  <c r="N5" i="25" s="1"/>
  <c r="O5" i="25" a="1"/>
  <c r="O5" i="25" s="1"/>
  <c r="P5" i="25" a="1"/>
  <c r="P5" i="25" s="1"/>
  <c r="C6" i="25"/>
  <c r="J2" i="25" s="1" a="1"/>
  <c r="J2" i="25" s="1"/>
  <c r="F6" i="25" a="1"/>
  <c r="F6" i="25" s="1"/>
  <c r="G6" i="25" a="1"/>
  <c r="G6" i="25" s="1"/>
  <c r="H6" i="25" a="1"/>
  <c r="H6" i="25" s="1"/>
  <c r="I6" i="25" a="1"/>
  <c r="I6" i="25" s="1"/>
  <c r="J6" i="25" a="1"/>
  <c r="J6" i="25" s="1"/>
  <c r="K6" i="25" a="1"/>
  <c r="K6" i="25" s="1"/>
  <c r="L6" i="25" a="1"/>
  <c r="L6" i="25" s="1"/>
  <c r="M6" i="25" a="1"/>
  <c r="M6" i="25" s="1"/>
  <c r="O6" i="25" a="1"/>
  <c r="O6" i="25" s="1"/>
  <c r="P6" i="25" a="1"/>
  <c r="P6" i="25" s="1"/>
  <c r="C7" i="25"/>
  <c r="K2" i="25" s="1" a="1"/>
  <c r="K2" i="25" s="1"/>
  <c r="F7" i="25" a="1"/>
  <c r="F7" i="25" s="1"/>
  <c r="G7" i="25" a="1"/>
  <c r="G7" i="25" s="1"/>
  <c r="H7" i="25" a="1"/>
  <c r="H7" i="25" s="1"/>
  <c r="I7" i="25" a="1"/>
  <c r="I7" i="25" s="1"/>
  <c r="J7" i="25" a="1"/>
  <c r="J7" i="25" s="1"/>
  <c r="K7" i="25" a="1"/>
  <c r="K7" i="25" s="1"/>
  <c r="L7" i="25" a="1"/>
  <c r="L7" i="25" s="1"/>
  <c r="M7" i="25" a="1"/>
  <c r="M7" i="25" s="1"/>
  <c r="N7" i="25" a="1"/>
  <c r="N7" i="25" s="1"/>
  <c r="O7" i="25" a="1"/>
  <c r="O7" i="25" s="1"/>
  <c r="C8" i="25"/>
  <c r="L2" i="25" s="1" a="1"/>
  <c r="L2" i="25" s="1"/>
  <c r="F8" i="25" a="1"/>
  <c r="F8" i="25" s="1"/>
  <c r="G8" i="25" a="1"/>
  <c r="G8" i="25" s="1"/>
  <c r="H8" i="25" a="1"/>
  <c r="H8" i="25" s="1"/>
  <c r="I8" i="25" a="1"/>
  <c r="I8" i="25" s="1"/>
  <c r="J8" i="25" a="1"/>
  <c r="J8" i="25" s="1"/>
  <c r="K8" i="25" a="1"/>
  <c r="K8" i="25" s="1"/>
  <c r="L8" i="25" a="1"/>
  <c r="L8" i="25" s="1"/>
  <c r="M8" i="25" a="1"/>
  <c r="M8" i="25" s="1"/>
  <c r="N8" i="25" a="1"/>
  <c r="N8" i="25" s="1"/>
  <c r="C9" i="25"/>
  <c r="M2" i="25" s="1" a="1"/>
  <c r="M2" i="25" s="1"/>
  <c r="F9" i="25" a="1"/>
  <c r="F9" i="25" s="1"/>
  <c r="G9" i="25" a="1"/>
  <c r="G9" i="25" s="1"/>
  <c r="H9" i="25" a="1"/>
  <c r="H9" i="25" s="1"/>
  <c r="I9" i="25" a="1"/>
  <c r="I9" i="25" s="1"/>
  <c r="J9" i="25" a="1"/>
  <c r="J9" i="25" s="1"/>
  <c r="K9" i="25" a="1"/>
  <c r="K9" i="25" s="1"/>
  <c r="L9" i="25" a="1"/>
  <c r="L9" i="25" s="1"/>
  <c r="M9" i="25" a="1"/>
  <c r="M9" i="25" s="1"/>
  <c r="C10" i="25"/>
  <c r="N2" i="25" s="1" a="1"/>
  <c r="N2" i="25" s="1"/>
  <c r="F10" i="25" a="1"/>
  <c r="F10" i="25" s="1"/>
  <c r="G10" i="25" a="1"/>
  <c r="G10" i="25" s="1"/>
  <c r="H10" i="25" a="1"/>
  <c r="H10" i="25" s="1"/>
  <c r="I10" i="25" a="1"/>
  <c r="I10" i="25" s="1"/>
  <c r="J10" i="25" a="1"/>
  <c r="J10" i="25" s="1"/>
  <c r="K10" i="25" a="1"/>
  <c r="K10" i="25" s="1"/>
  <c r="L10" i="25" a="1"/>
  <c r="L10" i="25" s="1"/>
  <c r="C11" i="25"/>
  <c r="O2" i="25" s="1" a="1"/>
  <c r="O2" i="25" s="1"/>
  <c r="F11" i="25" a="1"/>
  <c r="F11" i="25" s="1"/>
  <c r="G11" i="25" a="1"/>
  <c r="G11" i="25" s="1"/>
  <c r="H11" i="25" a="1"/>
  <c r="H11" i="25" s="1"/>
  <c r="I11" i="25" a="1"/>
  <c r="I11" i="25" s="1"/>
  <c r="J11" i="25" a="1"/>
  <c r="J11" i="25" s="1"/>
  <c r="K11" i="25" a="1"/>
  <c r="K11" i="25" s="1"/>
  <c r="C12" i="25"/>
  <c r="P2" i="25" s="1" a="1"/>
  <c r="P2" i="25" s="1"/>
  <c r="F12" i="25" a="1"/>
  <c r="F12" i="25" s="1"/>
  <c r="G12" i="25" a="1"/>
  <c r="G12" i="25" s="1"/>
  <c r="H12" i="25" a="1"/>
  <c r="H12" i="25" s="1"/>
  <c r="I12" i="25" a="1"/>
  <c r="I12" i="25" s="1"/>
  <c r="J12" i="25" a="1"/>
  <c r="J12" i="25" s="1"/>
  <c r="C13" i="25"/>
  <c r="Q2" i="25" s="1" a="1"/>
  <c r="Q2" i="25" s="1"/>
  <c r="F13" i="25" a="1"/>
  <c r="F13" i="25" s="1"/>
  <c r="G13" i="25" a="1"/>
  <c r="G13" i="25" s="1"/>
  <c r="H13" i="25" a="1"/>
  <c r="H13" i="25" s="1"/>
  <c r="I13" i="25" a="1"/>
  <c r="I13" i="25" s="1"/>
  <c r="C14" i="25"/>
  <c r="R2" i="25" s="1" a="1"/>
  <c r="R2" i="25" s="1"/>
  <c r="C15" i="25"/>
  <c r="C16" i="25"/>
  <c r="Q5" i="25" s="1" a="1"/>
  <c r="Q5" i="25" s="1"/>
  <c r="R4" i="25" l="1" a="1"/>
  <c r="R4" i="25" s="1"/>
  <c r="Q3" i="25" a="1"/>
  <c r="Q3" i="25" s="1"/>
  <c r="M3" i="25" a="1"/>
  <c r="M3" i="25" s="1"/>
  <c r="P3" i="25" a="1"/>
  <c r="P3" i="25" s="1"/>
  <c r="L3" i="25" a="1"/>
  <c r="L3" i="25" s="1"/>
  <c r="H3" i="25" a="1"/>
  <c r="H3" i="25" s="1"/>
  <c r="P4" i="25" a="1"/>
  <c r="P4" i="25" s="1"/>
  <c r="L4" i="25" a="1"/>
  <c r="L4" i="25" s="1"/>
  <c r="H4" i="25" a="1"/>
  <c r="H4" i="25" s="1"/>
  <c r="O3" i="25" a="1"/>
  <c r="O3" i="25" s="1"/>
  <c r="K3" i="25" a="1"/>
  <c r="K3" i="25" s="1"/>
  <c r="G3" i="25" a="1"/>
  <c r="G3" i="25" s="1"/>
  <c r="N6" i="25" a="1"/>
  <c r="N6" i="25" s="1"/>
  <c r="C17" i="25"/>
  <c r="I1" i="25" s="1"/>
  <c r="M1" i="25" s="1"/>
  <c r="C18" i="25"/>
  <c r="C19" i="25"/>
  <c r="C20" i="25"/>
  <c r="C21" i="25"/>
  <c r="C22" i="25"/>
  <c r="C23" i="25"/>
  <c r="C24" i="25"/>
  <c r="C25" i="25"/>
  <c r="R13" i="25" s="1" a="1"/>
  <c r="R13" i="25" s="1"/>
  <c r="R10" i="25" l="1" a="1"/>
  <c r="R10" i="25" s="1"/>
  <c r="P12" i="25" a="1"/>
  <c r="P12" i="25" s="1"/>
  <c r="Q11" i="25" a="1"/>
  <c r="Q11" i="25" s="1"/>
  <c r="O13" i="25" a="1"/>
  <c r="O13" i="25" s="1"/>
  <c r="R11" i="25" a="1"/>
  <c r="R11" i="25" s="1"/>
  <c r="Q12" i="25" a="1"/>
  <c r="Q12" i="25" s="1"/>
  <c r="P13" i="25" a="1"/>
  <c r="P13" i="25" s="1"/>
  <c r="P9" i="25" a="1"/>
  <c r="P9" i="25" s="1"/>
  <c r="Q8" i="25" a="1"/>
  <c r="Q8" i="25" s="1"/>
  <c r="O10" i="25" a="1"/>
  <c r="O10" i="25" s="1"/>
  <c r="N11" i="25" a="1"/>
  <c r="N11" i="25" s="1"/>
  <c r="M12" i="25" a="1"/>
  <c r="M12" i="25" s="1"/>
  <c r="R7" i="25" a="1"/>
  <c r="R7" i="25" s="1"/>
  <c r="L13" i="25" a="1"/>
  <c r="L13" i="25" s="1"/>
  <c r="R6" i="25" a="1"/>
  <c r="R6" i="25" s="1"/>
  <c r="P8" i="25" a="1"/>
  <c r="P8" i="25" s="1"/>
  <c r="N10" i="25" a="1"/>
  <c r="N10" i="25" s="1"/>
  <c r="L12" i="25" a="1"/>
  <c r="L12" i="25" s="1"/>
  <c r="Q7" i="25" a="1"/>
  <c r="Q7" i="25" s="1"/>
  <c r="O9" i="25" a="1"/>
  <c r="O9" i="25" s="1"/>
  <c r="M11" i="25" a="1"/>
  <c r="M11" i="25" s="1"/>
  <c r="K13" i="25" a="1"/>
  <c r="K13" i="25" s="1"/>
  <c r="Q13" i="25" a="1"/>
  <c r="Q13" i="25" s="1"/>
  <c r="R12" i="25" a="1"/>
  <c r="R12" i="25" s="1"/>
  <c r="Q9" i="25" a="1"/>
  <c r="Q9" i="25" s="1"/>
  <c r="O11" i="25" a="1"/>
  <c r="O11" i="25" s="1"/>
  <c r="M13" i="25" a="1"/>
  <c r="M13" i="25" s="1"/>
  <c r="R8" i="25" a="1"/>
  <c r="R8" i="25" s="1"/>
  <c r="P10" i="25" a="1"/>
  <c r="P10" i="25" s="1"/>
  <c r="N12" i="25" a="1"/>
  <c r="N12" i="25" s="1"/>
  <c r="Q10" i="25" a="1"/>
  <c r="Q10" i="25" s="1"/>
  <c r="R9" i="25" a="1"/>
  <c r="R9" i="25" s="1"/>
  <c r="P11" i="25" a="1"/>
  <c r="P11" i="25" s="1"/>
  <c r="N13" i="25" a="1"/>
  <c r="N13" i="25" s="1"/>
  <c r="O12" i="25" a="1"/>
  <c r="O12" i="25" s="1"/>
  <c r="J13" i="25" a="1"/>
  <c r="J13" i="25" s="1"/>
  <c r="R5" i="25" a="1"/>
  <c r="R5" i="25" s="1"/>
  <c r="P7" i="25" a="1"/>
  <c r="P7" i="25" s="1"/>
  <c r="N9" i="25" a="1"/>
  <c r="N9" i="25" s="1"/>
  <c r="L11" i="25" a="1"/>
  <c r="L11" i="25" s="1"/>
  <c r="Q6" i="25" a="1"/>
  <c r="Q6" i="25" s="1"/>
  <c r="O8" i="25" a="1"/>
  <c r="O8" i="25" s="1"/>
  <c r="M10" i="25" a="1"/>
  <c r="M10" i="25" s="1"/>
  <c r="K12" i="25" a="1"/>
  <c r="K12" i="25" s="1"/>
  <c r="H5" i="24"/>
  <c r="I5" i="24"/>
  <c r="J5" i="24"/>
  <c r="G6" i="24"/>
  <c r="N6" i="24" a="1"/>
  <c r="T2" i="25" a="1"/>
  <c r="T16" i="25" a="1"/>
  <c r="T16" i="25" l="1"/>
  <c r="T2" i="25"/>
  <c r="N6" i="24"/>
  <c r="R6" i="24"/>
  <c r="AD5" i="24" s="1"/>
  <c r="AD6" i="24"/>
  <c r="G7" i="24"/>
  <c r="M7" i="24"/>
  <c r="N7" i="24"/>
  <c r="R7" i="24"/>
  <c r="G8" i="24"/>
  <c r="R8" i="24"/>
  <c r="AD7" i="24" s="1"/>
  <c r="G9" i="24"/>
  <c r="R9" i="24" s="1"/>
  <c r="AD8" i="24" s="1"/>
  <c r="I9" i="24"/>
  <c r="J9" i="24"/>
  <c r="G10" i="24"/>
  <c r="R10" i="24" s="1"/>
  <c r="AD9" i="24" s="1"/>
  <c r="K11" i="24"/>
  <c r="H8" i="24" s="1"/>
  <c r="R16" i="24" a="1"/>
  <c r="R16" i="24" s="1"/>
  <c r="AD10" i="24" s="1"/>
  <c r="W6" i="24" a="1"/>
  <c r="W16" i="24" a="1"/>
  <c r="W9" i="24" l="1"/>
  <c r="X9" i="24"/>
  <c r="AF8" i="24" s="1"/>
  <c r="X8" i="24"/>
  <c r="AF7" i="24" s="1"/>
  <c r="W7" i="24"/>
  <c r="AE6" i="24" s="1"/>
  <c r="W10" i="24"/>
  <c r="AE9" i="24" s="1"/>
  <c r="X7" i="24"/>
  <c r="AF6" i="24" s="1"/>
  <c r="X10" i="24"/>
  <c r="AF9" i="24" s="1"/>
  <c r="W8" i="24"/>
  <c r="AE7" i="24" s="1"/>
  <c r="W6" i="24"/>
  <c r="AE5" i="24" s="1"/>
  <c r="X6" i="24"/>
  <c r="AF5" i="24" s="1"/>
  <c r="N8" i="24"/>
  <c r="O6" i="24" s="1"/>
  <c r="P6" i="24" s="1"/>
  <c r="J7" i="24"/>
  <c r="J8" i="24"/>
  <c r="I7" i="24"/>
  <c r="H9" i="24"/>
  <c r="J10" i="24"/>
  <c r="AE8" i="24"/>
  <c r="I8" i="24"/>
  <c r="K8" i="24" s="1"/>
  <c r="T8" i="24" s="1"/>
  <c r="H7" i="24"/>
  <c r="I10" i="24"/>
  <c r="I6" i="24"/>
  <c r="J6" i="24"/>
  <c r="H6" i="24"/>
  <c r="H10" i="24"/>
  <c r="W16" i="24"/>
  <c r="AE10" i="24" s="1"/>
  <c r="X16" i="24"/>
  <c r="AF10" i="24" s="1"/>
  <c r="R17" i="24"/>
  <c r="AD11" i="24" s="1"/>
  <c r="W17" i="24"/>
  <c r="AE11" i="24" s="1"/>
  <c r="X17" i="24"/>
  <c r="AF11" i="24" s="1"/>
  <c r="R18" i="24"/>
  <c r="AD12" i="24" s="1"/>
  <c r="W18" i="24"/>
  <c r="AE12" i="24" s="1"/>
  <c r="X18" i="24"/>
  <c r="AF12" i="24" s="1"/>
  <c r="AB8" i="24" l="1"/>
  <c r="AA8" i="24"/>
  <c r="K10" i="24"/>
  <c r="T10" i="24" s="1"/>
  <c r="U10" i="24"/>
  <c r="K9" i="24"/>
  <c r="T9" i="24" s="1"/>
  <c r="U9" i="24"/>
  <c r="K6" i="24"/>
  <c r="T6" i="24" s="1"/>
  <c r="U6" i="24"/>
  <c r="H11" i="24"/>
  <c r="J11" i="24"/>
  <c r="I11" i="24"/>
  <c r="U17" i="24" s="1"/>
  <c r="O7" i="24"/>
  <c r="P7" i="24" s="1"/>
  <c r="K7" i="24"/>
  <c r="T7" i="24" s="1"/>
  <c r="Y9" i="24" l="1"/>
  <c r="Z9" i="24"/>
  <c r="AA9" i="24"/>
  <c r="AB9" i="24"/>
  <c r="AA7" i="24"/>
  <c r="AB7" i="24"/>
  <c r="Z10" i="24"/>
  <c r="Y10" i="24"/>
  <c r="Y17" i="24"/>
  <c r="Z17" i="24"/>
  <c r="T16" i="24" a="1"/>
  <c r="U18" i="24"/>
  <c r="AA10" i="24"/>
  <c r="AB10" i="24"/>
  <c r="U8" i="24"/>
  <c r="U16" i="24"/>
  <c r="Y6" i="24"/>
  <c r="Z6" i="24"/>
  <c r="U7" i="24"/>
  <c r="AA6" i="24"/>
  <c r="AB6" i="24"/>
  <c r="Y18" i="24" l="1"/>
  <c r="Z18" i="24"/>
  <c r="T16" i="24"/>
  <c r="T18" i="24"/>
  <c r="T17" i="24"/>
  <c r="S6" i="24"/>
  <c r="S17" i="24"/>
  <c r="Z7" i="24"/>
  <c r="Y7" i="24"/>
  <c r="Y8" i="24"/>
  <c r="Z8" i="24"/>
  <c r="S10" i="24"/>
  <c r="V11" i="24"/>
  <c r="Y16" i="24"/>
  <c r="Z16" i="24"/>
  <c r="S9" i="24"/>
  <c r="V10" i="24" l="1"/>
  <c r="V9" i="24"/>
  <c r="V6" i="24"/>
  <c r="V19" i="24"/>
  <c r="V16" i="24" s="1"/>
  <c r="AA16" i="24"/>
  <c r="AB16" i="24"/>
  <c r="V7" i="24"/>
  <c r="S16" i="24"/>
  <c r="AA17" i="24"/>
  <c r="AB17" i="24"/>
  <c r="V8" i="24"/>
  <c r="AB18" i="24"/>
  <c r="AA18" i="24"/>
  <c r="S8" i="24"/>
  <c r="S7" i="24"/>
  <c r="S18" i="24"/>
  <c r="V18" i="24" l="1"/>
  <c r="V17" i="24"/>
  <c r="B9" i="22" l="1"/>
  <c r="C9" i="22"/>
  <c r="D9" i="22"/>
  <c r="E9" i="22"/>
  <c r="M8" i="22"/>
  <c r="AF3" i="22"/>
  <c r="R7" i="22"/>
  <c r="H8" i="22"/>
  <c r="F9" i="22"/>
  <c r="AE7" i="22"/>
  <c r="V7" i="22"/>
  <c r="AD3" i="22"/>
  <c r="B10" i="22" l="1"/>
  <c r="C10" i="22"/>
  <c r="D10" i="22"/>
  <c r="E10" i="22"/>
  <c r="AD10" i="22"/>
  <c r="B11" i="22"/>
  <c r="E11" i="22" s="1"/>
  <c r="C11" i="22"/>
  <c r="D11" i="22"/>
  <c r="AD11" i="22"/>
  <c r="B12" i="22"/>
  <c r="C12" i="22"/>
  <c r="D12" i="22"/>
  <c r="E12" i="22"/>
  <c r="AD12" i="22"/>
  <c r="B13" i="22"/>
  <c r="C13" i="22"/>
  <c r="D13" i="22"/>
  <c r="E13" i="22"/>
  <c r="AD13" i="22"/>
  <c r="B14" i="22"/>
  <c r="C14" i="22"/>
  <c r="D14" i="22"/>
  <c r="E14" i="22"/>
  <c r="H2" i="22" s="1" a="1"/>
  <c r="V13" i="22"/>
  <c r="Z13" i="22"/>
  <c r="AA13" i="22"/>
  <c r="Z14" i="22"/>
  <c r="H2" i="22" l="1"/>
  <c r="K3" i="22"/>
  <c r="K4" i="22"/>
  <c r="K5" i="22"/>
  <c r="K6" i="22"/>
  <c r="J7" i="22"/>
  <c r="I7" i="22"/>
  <c r="AD14" i="22"/>
  <c r="B15" i="22"/>
  <c r="I12" i="22" l="1"/>
  <c r="N4" i="22" s="1"/>
  <c r="N12" i="22" s="1"/>
  <c r="S4" i="22" s="1"/>
  <c r="J12" i="22"/>
  <c r="O4" i="22" s="1"/>
  <c r="O12" i="22" s="1"/>
  <c r="T4" i="22" s="1"/>
  <c r="I11" i="22"/>
  <c r="N3" i="22" s="1"/>
  <c r="N11" i="22" s="1"/>
  <c r="S3" i="22" s="1"/>
  <c r="J11" i="22"/>
  <c r="O3" i="22" s="1"/>
  <c r="O11" i="22" s="1"/>
  <c r="T3" i="22" s="1"/>
  <c r="I14" i="22"/>
  <c r="N6" i="22" s="1"/>
  <c r="N14" i="22" s="1"/>
  <c r="S6" i="22" s="1"/>
  <c r="J14" i="22"/>
  <c r="O6" i="22" s="1"/>
  <c r="O14" i="22" s="1"/>
  <c r="T6" i="22" s="1"/>
  <c r="J13" i="22"/>
  <c r="O5" i="22" s="1"/>
  <c r="O13" i="22" s="1"/>
  <c r="T5" i="22" s="1"/>
  <c r="I13" i="22"/>
  <c r="N5" i="22" s="1"/>
  <c r="N13" i="22" s="1"/>
  <c r="S5" i="22" s="1"/>
  <c r="K2" i="22"/>
  <c r="H7" i="22"/>
  <c r="H14" i="22" s="1"/>
  <c r="R15" i="22"/>
  <c r="M15" i="22"/>
  <c r="K14" i="22" l="1"/>
  <c r="M6" i="22"/>
  <c r="K7" i="22"/>
  <c r="I10" i="22"/>
  <c r="J10" i="22"/>
  <c r="H10" i="22"/>
  <c r="H12" i="22"/>
  <c r="H11" i="22"/>
  <c r="H13" i="22"/>
  <c r="H16" i="22"/>
  <c r="K12" i="22" l="1"/>
  <c r="M4" i="22"/>
  <c r="O2" i="22"/>
  <c r="J15" i="22"/>
  <c r="P6" i="22"/>
  <c r="M14" i="22"/>
  <c r="R6" i="22" s="1"/>
  <c r="K11" i="22"/>
  <c r="M3" i="22"/>
  <c r="K10" i="22"/>
  <c r="H15" i="22"/>
  <c r="M2" i="22"/>
  <c r="N2" i="22"/>
  <c r="I15" i="22"/>
  <c r="K13" i="22"/>
  <c r="M5" i="22"/>
  <c r="AE18" i="22"/>
  <c r="Z21" i="22"/>
  <c r="AF18" i="22"/>
  <c r="AD18" i="22"/>
  <c r="P5" i="22" l="1"/>
  <c r="M13" i="22"/>
  <c r="R5" i="22" s="1"/>
  <c r="P3" i="22"/>
  <c r="M11" i="22"/>
  <c r="R3" i="22" s="1"/>
  <c r="P4" i="22"/>
  <c r="M12" i="22"/>
  <c r="R4" i="22" s="1"/>
  <c r="N7" i="22"/>
  <c r="N10" i="22"/>
  <c r="S2" i="22" s="1"/>
  <c r="P2" i="22"/>
  <c r="M7" i="22"/>
  <c r="M10" i="22"/>
  <c r="R2" i="22" s="1"/>
  <c r="O7" i="22"/>
  <c r="O10" i="22"/>
  <c r="T2" i="22" s="1"/>
  <c r="K15" i="22"/>
  <c r="AD21" i="22"/>
  <c r="V2" i="22" a="1"/>
  <c r="R10" i="22" a="1"/>
  <c r="AA22" i="22"/>
  <c r="V10" i="22" a="1"/>
  <c r="V10" i="22" l="1"/>
  <c r="Z18" i="22" s="1" a="1"/>
  <c r="AA18" i="22" a="1"/>
  <c r="V2" i="22"/>
  <c r="V18" i="22" s="1" a="1"/>
  <c r="W18" i="22" a="1"/>
  <c r="R10" i="22"/>
  <c r="Z10" i="22" s="1"/>
  <c r="Z11" i="22"/>
  <c r="AF2" i="22"/>
  <c r="AD22" i="22"/>
  <c r="V23" i="22"/>
  <c r="AF12" i="22" l="1"/>
  <c r="AF11" i="22"/>
  <c r="AF13" i="22"/>
  <c r="AF14" i="22"/>
  <c r="W18" i="22"/>
  <c r="AF10" i="22" s="1"/>
  <c r="AE11" i="22"/>
  <c r="AE12" i="22"/>
  <c r="AE13" i="22"/>
  <c r="AE14" i="22"/>
  <c r="V18" i="22"/>
  <c r="AE10" i="22" s="1"/>
  <c r="Z12" i="22"/>
  <c r="AD2" i="22" s="1"/>
  <c r="AE6" i="22" s="1"/>
  <c r="AF16" i="22"/>
  <c r="AF17" i="22"/>
  <c r="AA18" i="22"/>
  <c r="AF15" i="22" s="1"/>
  <c r="Z18" i="22"/>
  <c r="AE15" i="22" s="1"/>
  <c r="AE17" i="22"/>
  <c r="AE16" i="22"/>
  <c r="AD23" i="22"/>
  <c r="W24" i="22"/>
  <c r="AA11" i="22" l="1"/>
  <c r="AA10" i="22"/>
  <c r="AB10" i="22" s="1"/>
  <c r="AD24" i="22"/>
  <c r="AD25" i="22"/>
  <c r="AD26" i="22"/>
  <c r="V27" i="22" a="1"/>
  <c r="AB11" i="22" l="1"/>
  <c r="AA12" i="22"/>
  <c r="AF21" i="22"/>
  <c r="AE22" i="22"/>
  <c r="AF22" i="22"/>
  <c r="AE23" i="22"/>
  <c r="AF23" i="22"/>
  <c r="AF25" i="22"/>
  <c r="AE24" i="22"/>
  <c r="AF24" i="22"/>
  <c r="AE25" i="22"/>
  <c r="V27" i="22"/>
  <c r="AE21" i="22" s="1"/>
  <c r="Z27" i="22" a="1"/>
  <c r="AF26" i="22" l="1"/>
  <c r="Z27" i="22"/>
  <c r="AE26" i="22" s="1"/>
  <c r="AD27" i="22"/>
  <c r="AE27" i="22"/>
  <c r="AF27" i="22"/>
  <c r="AD28" i="22"/>
  <c r="AE28" i="22"/>
  <c r="AF28" i="22"/>
  <c r="K2" i="21" a="1"/>
  <c r="K2" i="21" s="1"/>
  <c r="R2" i="21" s="1" a="1"/>
  <c r="R2" i="21" s="1"/>
  <c r="B11" i="21"/>
  <c r="C10" i="21" s="1"/>
  <c r="E11" i="21"/>
  <c r="B12" i="21"/>
  <c r="D10" i="21" s="1"/>
  <c r="C12" i="21"/>
  <c r="D11" i="21" s="1"/>
  <c r="E12" i="21"/>
  <c r="F12" i="21"/>
  <c r="B13" i="21"/>
  <c r="E10" i="21" s="1"/>
  <c r="C13" i="21"/>
  <c r="D13" i="21"/>
  <c r="F13" i="21"/>
  <c r="B14" i="21"/>
  <c r="F10" i="21" s="1"/>
  <c r="C14" i="21"/>
  <c r="F11" i="21" s="1"/>
  <c r="D14" i="21"/>
  <c r="E14" i="21"/>
  <c r="B15" i="21"/>
  <c r="G10" i="21" s="1"/>
  <c r="C15" i="21"/>
  <c r="G11" i="21" s="1"/>
  <c r="D15" i="21"/>
  <c r="G12" i="21" s="1"/>
  <c r="E15" i="21"/>
  <c r="G13" i="21" s="1"/>
  <c r="F15" i="21"/>
  <c r="G14" i="21" s="1"/>
  <c r="B21" i="21" a="1"/>
  <c r="B21" i="21" s="1"/>
  <c r="R11" i="21" s="1" a="1"/>
  <c r="R11" i="21" s="1"/>
  <c r="I3" i="20" a="1"/>
  <c r="I3" i="20" s="1"/>
  <c r="J3" i="20" a="1"/>
  <c r="J3" i="20" s="1"/>
  <c r="K3" i="20" a="1"/>
  <c r="K3" i="20" s="1"/>
  <c r="L3" i="20" a="1"/>
  <c r="L3" i="20" s="1"/>
  <c r="U10" i="20"/>
  <c r="A12" i="20"/>
  <c r="B11" i="20" s="1"/>
  <c r="C12" i="20"/>
  <c r="I12" i="20" a="1"/>
  <c r="I12" i="20" s="1"/>
  <c r="A13" i="20"/>
  <c r="C11" i="20" s="1"/>
  <c r="B13" i="20"/>
  <c r="A14" i="20"/>
  <c r="Q15" i="20" s="1"/>
  <c r="B14" i="20"/>
  <c r="D12" i="20" s="1"/>
  <c r="C14" i="20"/>
  <c r="D13" i="20" s="1"/>
  <c r="A15" i="20"/>
  <c r="Q16" i="20" s="1"/>
  <c r="B15" i="20"/>
  <c r="E12" i="20" s="1"/>
  <c r="C15" i="20"/>
  <c r="E13" i="20" s="1"/>
  <c r="D15" i="20"/>
  <c r="E14" i="20" s="1"/>
  <c r="A16" i="20"/>
  <c r="F11" i="20" s="1"/>
  <c r="B16" i="20"/>
  <c r="F12" i="20" s="1"/>
  <c r="C16" i="20"/>
  <c r="F13" i="20" s="1"/>
  <c r="D16" i="20"/>
  <c r="F14" i="20" s="1"/>
  <c r="E16" i="20"/>
  <c r="F15" i="20" s="1"/>
  <c r="Z30" i="22"/>
  <c r="V32" i="22"/>
  <c r="A17" i="20"/>
  <c r="F16" i="21"/>
  <c r="K8" i="21"/>
  <c r="B18" i="21"/>
  <c r="R10" i="20"/>
  <c r="R17" i="21"/>
  <c r="B27" i="21"/>
  <c r="R8" i="21"/>
  <c r="B16" i="21"/>
  <c r="B17" i="21"/>
  <c r="Q9" i="20"/>
  <c r="E17" i="20"/>
  <c r="I9" i="20"/>
  <c r="E11" i="20" l="1"/>
  <c r="D11" i="20"/>
  <c r="Q14" i="20"/>
  <c r="Q13" i="20"/>
  <c r="V6" i="20"/>
  <c r="V4" i="20"/>
  <c r="W4" i="20" s="1"/>
  <c r="V8" i="20"/>
  <c r="V5" i="20"/>
  <c r="V7" i="20"/>
  <c r="V9" i="20"/>
  <c r="Q17" i="20"/>
  <c r="A18" i="20"/>
  <c r="I18" i="20"/>
  <c r="W5" i="20" l="1"/>
  <c r="W6" i="20" s="1"/>
  <c r="W7" i="20" s="1"/>
  <c r="W8" i="20" s="1"/>
  <c r="W9" i="20" s="1"/>
  <c r="Q18" i="20"/>
  <c r="A19" i="20"/>
  <c r="Q19" i="20" l="1"/>
  <c r="Q20" i="20"/>
  <c r="I21" i="20" a="1"/>
  <c r="R3" i="20" l="1"/>
  <c r="R4" i="20"/>
  <c r="R6" i="20"/>
  <c r="R8" i="20"/>
  <c r="R5" i="20"/>
  <c r="R7" i="20"/>
  <c r="I21" i="20"/>
  <c r="Q7" i="20" s="1"/>
  <c r="Q21" i="20"/>
  <c r="Q22" i="20"/>
  <c r="Q23" i="20"/>
  <c r="Q24" i="20"/>
  <c r="Q25" i="20"/>
  <c r="Q26" i="20"/>
  <c r="Q27" i="20"/>
  <c r="Q30" i="20"/>
  <c r="I30" i="20"/>
  <c r="S31" i="20"/>
  <c r="S32" i="20"/>
  <c r="R30" i="20"/>
  <c r="Q5" i="20" l="1"/>
  <c r="R23" i="20" s="1"/>
  <c r="S23" i="20" s="1"/>
  <c r="Q3" i="20"/>
  <c r="R16" i="20" s="1"/>
  <c r="S16" i="20" s="1"/>
  <c r="Q8" i="20"/>
  <c r="Q6" i="20"/>
  <c r="Q4" i="20"/>
  <c r="R20" i="20" s="1"/>
  <c r="S20" i="20" s="1"/>
  <c r="R3" i="19" a="1"/>
  <c r="R3" i="19" s="1"/>
  <c r="R4" i="19"/>
  <c r="L5" i="19"/>
  <c r="G5" i="19"/>
  <c r="R18" i="20" l="1"/>
  <c r="S18" i="20" s="1"/>
  <c r="R17" i="20"/>
  <c r="S17" i="20" s="1"/>
  <c r="R27" i="20"/>
  <c r="S27" i="20" s="1"/>
  <c r="R26" i="20"/>
  <c r="S26" i="20" s="1"/>
  <c r="R21" i="20"/>
  <c r="S21" i="20" s="1"/>
  <c r="R24" i="20"/>
  <c r="S24" i="20" s="1"/>
  <c r="R15" i="20"/>
  <c r="S15" i="20" s="1"/>
  <c r="R19" i="20"/>
  <c r="S19" i="20" s="1"/>
  <c r="R22" i="20"/>
  <c r="S22" i="20" s="1"/>
  <c r="R25" i="20"/>
  <c r="S25" i="20" s="1"/>
  <c r="R14" i="20"/>
  <c r="S14" i="20" s="1"/>
  <c r="R13" i="20"/>
  <c r="S13" i="20" s="1"/>
  <c r="B6" i="19"/>
  <c r="G2" i="19" s="1" a="1"/>
  <c r="G2" i="19" s="1"/>
  <c r="C6" i="19"/>
  <c r="H2" i="19" s="1" a="1"/>
  <c r="H2" i="19" s="1"/>
  <c r="D6" i="19"/>
  <c r="I2" i="19" s="1" a="1"/>
  <c r="I2" i="19" s="1"/>
  <c r="E6" i="19"/>
  <c r="J2" i="19" s="1" a="1"/>
  <c r="J2" i="19" s="1"/>
  <c r="R7" i="19" a="1"/>
  <c r="R7" i="19" s="1"/>
  <c r="R8" i="19"/>
  <c r="S28" i="20" l="1"/>
  <c r="S29" i="20" s="1" a="1"/>
  <c r="S29" i="20" s="1"/>
  <c r="L2" i="19" a="1"/>
  <c r="L2" i="19" s="1"/>
  <c r="AA9" i="19"/>
  <c r="AA10" i="19"/>
  <c r="AB10" i="19"/>
  <c r="B11" i="19"/>
  <c r="C10" i="19" s="1"/>
  <c r="R11" i="19" a="1"/>
  <c r="R11" i="19" s="1"/>
  <c r="AA11" i="19"/>
  <c r="AB11" i="19"/>
  <c r="AC11" i="19"/>
  <c r="B12" i="19"/>
  <c r="D10" i="19" s="1"/>
  <c r="C12" i="19"/>
  <c r="D11" i="19" s="1"/>
  <c r="B16" i="19" a="1"/>
  <c r="B16" i="19" s="1"/>
  <c r="H16" i="19" a="1"/>
  <c r="H16" i="19" s="1"/>
  <c r="W16" i="19"/>
  <c r="W18" i="19"/>
  <c r="H22" i="19" a="1"/>
  <c r="H22" i="19" s="1"/>
  <c r="R16" i="19" s="1" a="1"/>
  <c r="R16" i="19" s="1"/>
  <c r="H28" i="19" a="1"/>
  <c r="H28" i="19" s="1"/>
  <c r="L10" i="19" s="1" a="1"/>
  <c r="L10" i="19" s="1"/>
  <c r="B19" i="19"/>
  <c r="B22" i="19" a="1"/>
  <c r="W17" i="19"/>
  <c r="H19" i="19"/>
  <c r="B26" i="19"/>
  <c r="B13" i="19"/>
  <c r="W19" i="19"/>
  <c r="H31" i="19"/>
  <c r="E33" i="19"/>
  <c r="B34" i="19"/>
  <c r="B35" i="19"/>
  <c r="L13" i="19"/>
  <c r="H25" i="19"/>
  <c r="E35" i="19"/>
  <c r="E36" i="19"/>
  <c r="B36" i="19"/>
  <c r="E34" i="19"/>
  <c r="B33" i="19"/>
  <c r="E30" i="19" l="1"/>
  <c r="D32" i="19"/>
  <c r="E32" i="19"/>
  <c r="C29" i="19"/>
  <c r="C31" i="19"/>
  <c r="D31" i="19"/>
  <c r="C30" i="19"/>
  <c r="C32" i="19"/>
  <c r="B22" i="19"/>
  <c r="E29" i="19" s="1"/>
  <c r="E31" i="19"/>
  <c r="D30" i="19"/>
  <c r="D29" i="19" l="1"/>
  <c r="B29" i="19"/>
  <c r="B31" i="19"/>
  <c r="B30" i="19"/>
  <c r="B32" i="19"/>
  <c r="G3" i="15" l="1"/>
  <c r="H3" i="15"/>
  <c r="I3" i="15"/>
  <c r="K3" i="15" a="1"/>
  <c r="K3" i="15" s="1"/>
  <c r="L3" i="15" a="1"/>
  <c r="L3" i="15"/>
  <c r="M3" i="15" a="1"/>
  <c r="M3" i="15" s="1"/>
  <c r="AP3" i="15"/>
  <c r="G4" i="15"/>
  <c r="H4" i="15"/>
  <c r="I4" i="15"/>
  <c r="AE4" i="15"/>
  <c r="AP4" i="15" l="1"/>
  <c r="G5" i="15"/>
  <c r="H5" i="15"/>
  <c r="I5" i="15"/>
  <c r="AE5" i="15"/>
  <c r="AP5" i="15" l="1"/>
  <c r="G6" i="15"/>
  <c r="H6" i="15"/>
  <c r="I6" i="15"/>
  <c r="O6" i="15"/>
  <c r="AE6" i="15"/>
  <c r="AP6" i="15" l="1"/>
  <c r="G7" i="15"/>
  <c r="H7" i="15"/>
  <c r="I7" i="15"/>
  <c r="AB7" i="15"/>
  <c r="AP7" i="15" l="1"/>
  <c r="K8" i="15" a="1"/>
  <c r="K8" i="15" s="1"/>
  <c r="L8" i="15" a="1"/>
  <c r="L8" i="15" s="1"/>
  <c r="M8" i="15" a="1"/>
  <c r="M8" i="15" s="1"/>
  <c r="AP8" i="15"/>
  <c r="W9" i="15"/>
  <c r="G8" i="15"/>
  <c r="G9" i="15"/>
  <c r="Y9" i="15"/>
  <c r="AP9" i="15" l="1"/>
  <c r="AP10" i="15"/>
  <c r="G13" i="15"/>
  <c r="H13" i="15"/>
  <c r="I13" i="15"/>
  <c r="K13" i="15" a="1"/>
  <c r="K13" i="15" s="1"/>
  <c r="L13" i="15" a="1"/>
  <c r="L13" i="15" s="1"/>
  <c r="M13" i="15" a="1"/>
  <c r="M13" i="15" s="1"/>
  <c r="G14" i="15"/>
  <c r="H14" i="15"/>
  <c r="I14" i="15"/>
  <c r="AP14" i="15"/>
  <c r="G15" i="15"/>
  <c r="H15" i="15"/>
  <c r="I15" i="15"/>
  <c r="AP15" i="15"/>
  <c r="G16" i="15"/>
  <c r="H16" i="15"/>
  <c r="I16" i="15"/>
  <c r="AP17" i="15"/>
  <c r="K18" i="15" a="1"/>
  <c r="K18" i="15" s="1"/>
  <c r="L18" i="15" a="1"/>
  <c r="L18" i="15" s="1"/>
  <c r="M18" i="15" a="1"/>
  <c r="M18" i="15" s="1"/>
  <c r="Z16" i="15"/>
  <c r="W16" i="15"/>
  <c r="X19" i="15"/>
  <c r="AB13" i="15"/>
  <c r="G17" i="15"/>
  <c r="AA17" i="15"/>
  <c r="O13" i="15"/>
  <c r="O3" i="15" l="1" a="1"/>
  <c r="O3" i="15" s="1"/>
  <c r="X20" i="15"/>
  <c r="F21" i="15" l="1" a="1"/>
  <c r="F21" i="15" s="1"/>
  <c r="O10" i="15" s="1" a="1"/>
  <c r="X21" i="15"/>
  <c r="O10" i="15" l="1"/>
  <c r="O22" i="15"/>
  <c r="O16" i="15" a="1"/>
  <c r="T3" i="15" l="1" a="1"/>
  <c r="S3" i="15" a="1"/>
  <c r="U3" i="15" a="1"/>
  <c r="W15" i="15"/>
  <c r="W14" i="15"/>
  <c r="O16" i="15"/>
  <c r="W13" i="15" s="1"/>
  <c r="W23" i="15"/>
  <c r="K23" i="15"/>
  <c r="S23" i="15"/>
  <c r="Z23" i="15"/>
  <c r="F24" i="15"/>
  <c r="T24" i="15"/>
  <c r="Z13" i="15" l="1"/>
  <c r="AA13" i="15" s="1"/>
  <c r="W19" i="15"/>
  <c r="Z14" i="15"/>
  <c r="AA14" i="15" s="1"/>
  <c r="W20" i="15"/>
  <c r="Z15" i="15"/>
  <c r="AA15" i="15" s="1"/>
  <c r="W21" i="15"/>
  <c r="U3" i="15"/>
  <c r="Y6" i="15"/>
  <c r="Y7" i="15"/>
  <c r="Y8" i="15"/>
  <c r="S3" i="15"/>
  <c r="W6" i="15"/>
  <c r="W7" i="15"/>
  <c r="W8" i="15"/>
  <c r="T3" i="15"/>
  <c r="X6" i="15"/>
  <c r="X7" i="15"/>
  <c r="X8" i="15"/>
  <c r="O28" i="15" a="1"/>
  <c r="O28" i="15" s="1"/>
  <c r="G6" i="14"/>
  <c r="H6" i="14"/>
  <c r="I6" i="14"/>
  <c r="G7" i="14"/>
  <c r="H7" i="14"/>
  <c r="I7" i="14"/>
  <c r="L7" i="14"/>
  <c r="AB4" i="15" l="1"/>
  <c r="AB5" i="15"/>
  <c r="W5" i="15"/>
  <c r="AB6" i="15"/>
  <c r="W22" i="15"/>
  <c r="Z21" i="15" s="1"/>
  <c r="AC4" i="15"/>
  <c r="AC5" i="15"/>
  <c r="X5" i="15"/>
  <c r="AC6" i="15"/>
  <c r="AD4" i="15"/>
  <c r="Y5" i="15"/>
  <c r="AD5" i="15"/>
  <c r="AD6" i="15"/>
  <c r="Z20" i="15"/>
  <c r="AA16" i="15"/>
  <c r="AP11" i="15" s="1"/>
  <c r="AP12" i="15" s="1"/>
  <c r="AP13" i="15" s="1"/>
  <c r="AP18" i="15" s="1"/>
  <c r="G8" i="14"/>
  <c r="H8" i="14"/>
  <c r="I8" i="14"/>
  <c r="G9" i="14"/>
  <c r="H9" i="14"/>
  <c r="I9" i="14"/>
  <c r="G10" i="14"/>
  <c r="Z19" i="15" l="1"/>
  <c r="Z22" i="15" s="1"/>
  <c r="G13" i="14"/>
  <c r="H13" i="14"/>
  <c r="I13" i="14"/>
  <c r="G14" i="14"/>
  <c r="H14" i="14"/>
  <c r="I14" i="14"/>
  <c r="G15" i="14"/>
  <c r="H15" i="14"/>
  <c r="I15" i="14"/>
  <c r="G16" i="14"/>
  <c r="H16" i="14"/>
  <c r="I16" i="14"/>
  <c r="G20" i="14" a="1"/>
  <c r="G17" i="14"/>
  <c r="G20" i="14" l="1"/>
  <c r="L5" i="14" s="1" a="1"/>
  <c r="L5" i="14" s="1"/>
  <c r="G23" i="14"/>
  <c r="L3" i="14" l="1" a="1"/>
  <c r="L3" i="14" s="1"/>
  <c r="L6" i="14" a="1"/>
  <c r="L6" i="14" s="1"/>
  <c r="L4" i="14" a="1"/>
  <c r="L4" i="14" s="1"/>
  <c r="G26" i="14" a="1"/>
  <c r="G26" i="14" s="1"/>
  <c r="G4" i="13"/>
  <c r="G5" i="13"/>
  <c r="G6" i="13"/>
  <c r="J6" i="13"/>
  <c r="K6" i="13"/>
  <c r="L6" i="13"/>
  <c r="G7" i="13"/>
  <c r="J14" i="13"/>
  <c r="J15" i="13"/>
  <c r="I7" i="13" a="1"/>
  <c r="G29" i="14"/>
  <c r="I9" i="13" l="1"/>
  <c r="L9" i="13" s="1"/>
  <c r="I10" i="13"/>
  <c r="I17" i="13" s="1"/>
  <c r="I7" i="13"/>
  <c r="I8" i="13"/>
  <c r="J8" i="13" s="1"/>
  <c r="L8" i="13"/>
  <c r="K8" i="13"/>
  <c r="I15" i="13"/>
  <c r="J16" i="13"/>
  <c r="J17" i="13"/>
  <c r="N6" i="13" a="1"/>
  <c r="J21" i="13"/>
  <c r="U6" i="13" a="1"/>
  <c r="I16" i="13" l="1"/>
  <c r="L7" i="13"/>
  <c r="J7" i="13"/>
  <c r="K7" i="13"/>
  <c r="I14" i="13"/>
  <c r="L10" i="13"/>
  <c r="J10" i="13"/>
  <c r="K10" i="13"/>
  <c r="K9" i="13"/>
  <c r="J9" i="13"/>
  <c r="N6" i="13"/>
  <c r="P6" i="13"/>
  <c r="Q6" i="13"/>
  <c r="R6" i="13"/>
  <c r="S6" i="13"/>
  <c r="O6" i="13"/>
  <c r="R7" i="13"/>
  <c r="S8" i="13"/>
  <c r="R11" i="13"/>
  <c r="S7" i="13"/>
  <c r="N10" i="13"/>
  <c r="S11" i="13"/>
  <c r="N9" i="13"/>
  <c r="O10" i="13"/>
  <c r="N8" i="13"/>
  <c r="O9" i="13"/>
  <c r="P10" i="13"/>
  <c r="N7" i="13"/>
  <c r="O8" i="13"/>
  <c r="P9" i="13"/>
  <c r="Q10" i="13"/>
  <c r="N11" i="13"/>
  <c r="P8" i="13"/>
  <c r="Q9" i="13"/>
  <c r="R10" i="13"/>
  <c r="O11" i="13"/>
  <c r="P7" i="13"/>
  <c r="Q8" i="13"/>
  <c r="R9" i="13"/>
  <c r="S10" i="13"/>
  <c r="Q7" i="13"/>
  <c r="R8" i="13"/>
  <c r="O7" i="13"/>
  <c r="S9" i="13"/>
  <c r="P11" i="13"/>
  <c r="Q11" i="13"/>
  <c r="U6" i="13"/>
  <c r="V6" i="13"/>
  <c r="W6" i="13"/>
  <c r="X6" i="13"/>
  <c r="Y6" i="13"/>
  <c r="U9" i="13"/>
  <c r="V10" i="13"/>
  <c r="V12" i="13"/>
  <c r="Y13" i="13"/>
  <c r="U8" i="13"/>
  <c r="V9" i="13"/>
  <c r="W10" i="13"/>
  <c r="W12" i="13"/>
  <c r="U7" i="13"/>
  <c r="V8" i="13"/>
  <c r="W9" i="13"/>
  <c r="X10" i="13"/>
  <c r="U11" i="13"/>
  <c r="X12" i="13"/>
  <c r="V7" i="13"/>
  <c r="W8" i="13"/>
  <c r="X9" i="13"/>
  <c r="Y10" i="13"/>
  <c r="V11" i="13"/>
  <c r="Y12" i="13"/>
  <c r="U14" i="13"/>
  <c r="X11" i="13"/>
  <c r="W14" i="13"/>
  <c r="Y7" i="13"/>
  <c r="U12" i="13"/>
  <c r="W7" i="13"/>
  <c r="X8" i="13"/>
  <c r="Y9" i="13"/>
  <c r="W11" i="13"/>
  <c r="U13" i="13"/>
  <c r="V14" i="13"/>
  <c r="X7" i="13"/>
  <c r="Y8" i="13"/>
  <c r="V13" i="13"/>
  <c r="Y11" i="13"/>
  <c r="W13" i="13"/>
  <c r="X14" i="13"/>
  <c r="U10" i="13"/>
  <c r="X13" i="13"/>
  <c r="Y14" i="13"/>
  <c r="X16" i="13"/>
  <c r="X19" i="13"/>
  <c r="V20" i="13"/>
  <c r="U15" i="13"/>
  <c r="Y16" i="13"/>
  <c r="U17" i="13"/>
  <c r="Y19" i="13"/>
  <c r="W20" i="13"/>
  <c r="V15" i="13"/>
  <c r="U20" i="13"/>
  <c r="V17" i="13"/>
  <c r="X20" i="13"/>
  <c r="X18" i="13"/>
  <c r="Y18" i="13"/>
  <c r="W15" i="13"/>
  <c r="W17" i="13"/>
  <c r="U18" i="13"/>
  <c r="Y20" i="13"/>
  <c r="V16" i="13"/>
  <c r="V19" i="13"/>
  <c r="W16" i="13"/>
  <c r="W19" i="13"/>
  <c r="X15" i="13"/>
  <c r="X17" i="13"/>
  <c r="V18" i="13"/>
  <c r="Y15" i="13"/>
  <c r="U16" i="13"/>
  <c r="W18" i="13"/>
  <c r="U19" i="13"/>
  <c r="Y17" i="13"/>
  <c r="U21" i="13"/>
  <c r="V21" i="13"/>
  <c r="W21" i="13"/>
  <c r="X21" i="13"/>
  <c r="Y21" i="13"/>
  <c r="U22" i="13"/>
  <c r="V22" i="13"/>
  <c r="W22" i="13"/>
  <c r="X22" i="13"/>
  <c r="Y22" i="13"/>
  <c r="U23" i="13"/>
  <c r="V23" i="13"/>
  <c r="W23" i="13"/>
  <c r="X23" i="13"/>
  <c r="Y23" i="13"/>
  <c r="U24" i="13"/>
  <c r="V24" i="13"/>
  <c r="W24" i="13"/>
  <c r="X24" i="13"/>
  <c r="Y24" i="13"/>
  <c r="U25" i="13"/>
  <c r="V25" i="13"/>
  <c r="W25" i="13"/>
  <c r="X25" i="13"/>
  <c r="Y25" i="13"/>
  <c r="U26" i="13"/>
  <c r="V26" i="13"/>
  <c r="W26" i="13"/>
  <c r="X26" i="13"/>
  <c r="Y26" i="13"/>
  <c r="G3" i="12"/>
  <c r="G4" i="12"/>
  <c r="G5" i="12"/>
  <c r="G6" i="12"/>
  <c r="J6" i="12"/>
  <c r="K6" i="12"/>
  <c r="L6" i="12"/>
  <c r="I7" i="12" a="1"/>
  <c r="N15" i="13" a="1"/>
  <c r="R15" i="13" l="1"/>
  <c r="N16" i="13"/>
  <c r="R17" i="13"/>
  <c r="P18" i="13"/>
  <c r="N19" i="13"/>
  <c r="O16" i="13"/>
  <c r="Q18" i="13"/>
  <c r="O19" i="13"/>
  <c r="P16" i="13"/>
  <c r="P19" i="13"/>
  <c r="N18" i="13"/>
  <c r="R20" i="13"/>
  <c r="O18" i="13"/>
  <c r="R18" i="13"/>
  <c r="N20" i="13"/>
  <c r="Q15" i="13"/>
  <c r="Q16" i="13"/>
  <c r="Q19" i="13"/>
  <c r="O20" i="13"/>
  <c r="P15" i="13"/>
  <c r="N15" i="13"/>
  <c r="R16" i="13"/>
  <c r="N17" i="13"/>
  <c r="R19" i="13"/>
  <c r="P20" i="13"/>
  <c r="O15" i="13"/>
  <c r="O17" i="13"/>
  <c r="Q20" i="13"/>
  <c r="P17" i="13"/>
  <c r="Q17" i="13"/>
  <c r="I7" i="12"/>
  <c r="K7" i="12" s="1"/>
  <c r="N7" i="12"/>
  <c r="O7" i="12"/>
  <c r="I8" i="12"/>
  <c r="J8" i="12" s="1"/>
  <c r="N8" i="12"/>
  <c r="O8" i="12" s="1"/>
  <c r="I9" i="12"/>
  <c r="K9" i="12" s="1"/>
  <c r="J9" i="12"/>
  <c r="N9" i="12"/>
  <c r="O9" i="12"/>
  <c r="I10" i="12"/>
  <c r="J10" i="12" s="1"/>
  <c r="N10" i="12"/>
  <c r="K14" i="12"/>
  <c r="L14" i="12"/>
  <c r="M14" i="12"/>
  <c r="Q6" i="12" a="1"/>
  <c r="I15" i="12" a="1"/>
  <c r="J7" i="12" l="1"/>
  <c r="L8" i="12"/>
  <c r="K8" i="12"/>
  <c r="L9" i="12"/>
  <c r="L10" i="12"/>
  <c r="K10" i="12"/>
  <c r="L7" i="12"/>
  <c r="Q6" i="12"/>
  <c r="R6" i="12"/>
  <c r="S6" i="12"/>
  <c r="T6" i="12"/>
  <c r="U6" i="12"/>
  <c r="V6" i="12"/>
  <c r="S7" i="12"/>
  <c r="R8" i="12"/>
  <c r="Q9" i="12"/>
  <c r="U11" i="12"/>
  <c r="T7" i="12"/>
  <c r="S8" i="12"/>
  <c r="R9" i="12"/>
  <c r="Q10" i="12"/>
  <c r="V11" i="12"/>
  <c r="U7" i="12"/>
  <c r="T8" i="12"/>
  <c r="S9" i="12"/>
  <c r="R10" i="12"/>
  <c r="R11" i="12"/>
  <c r="S11" i="12"/>
  <c r="V7" i="12"/>
  <c r="U8" i="12"/>
  <c r="T10" i="12"/>
  <c r="Q11" i="12"/>
  <c r="V9" i="12"/>
  <c r="U10" i="12"/>
  <c r="V10" i="12"/>
  <c r="T9" i="12"/>
  <c r="S10" i="12"/>
  <c r="U9" i="12"/>
  <c r="V8" i="12"/>
  <c r="Q7" i="12"/>
  <c r="R7" i="12"/>
  <c r="Q8" i="12"/>
  <c r="T11" i="12"/>
  <c r="O10" i="12"/>
  <c r="I15" i="12"/>
  <c r="J15" i="12"/>
  <c r="K15" i="12"/>
  <c r="L15" i="12"/>
  <c r="M15" i="12"/>
  <c r="I16" i="12"/>
  <c r="J16" i="12"/>
  <c r="K16" i="12"/>
  <c r="L16" i="12"/>
  <c r="M16" i="12"/>
  <c r="I17" i="12"/>
  <c r="J17" i="12"/>
  <c r="K17" i="12"/>
  <c r="L17" i="12"/>
  <c r="M17" i="12"/>
  <c r="I18" i="12"/>
  <c r="J18" i="12"/>
  <c r="K18" i="12"/>
  <c r="L18" i="12"/>
  <c r="M18" i="12"/>
  <c r="J22" i="12"/>
  <c r="X6" i="12" a="1"/>
  <c r="Q15" i="12" a="1"/>
  <c r="S15" i="12" l="1"/>
  <c r="Q16" i="12"/>
  <c r="U18" i="12"/>
  <c r="S20" i="12"/>
  <c r="T15" i="12"/>
  <c r="R16" i="12"/>
  <c r="Q19" i="12"/>
  <c r="T20" i="12"/>
  <c r="U19" i="12"/>
  <c r="R20" i="12"/>
  <c r="U15" i="12"/>
  <c r="S16" i="12"/>
  <c r="Q17" i="12"/>
  <c r="R19" i="12"/>
  <c r="U20" i="12"/>
  <c r="T16" i="12"/>
  <c r="R17" i="12"/>
  <c r="S19" i="12"/>
  <c r="U16" i="12"/>
  <c r="S17" i="12"/>
  <c r="Q18" i="12"/>
  <c r="T19" i="12"/>
  <c r="T17" i="12"/>
  <c r="R18" i="12"/>
  <c r="R15" i="12"/>
  <c r="T18" i="12"/>
  <c r="Q15" i="12"/>
  <c r="U17" i="12"/>
  <c r="S18" i="12"/>
  <c r="Q20" i="12"/>
  <c r="X6" i="12"/>
  <c r="Y6" i="12"/>
  <c r="Z6" i="12"/>
  <c r="AA6" i="12"/>
  <c r="AB6" i="12"/>
  <c r="AB7" i="12"/>
  <c r="AA8" i="12"/>
  <c r="Z9" i="12"/>
  <c r="Y10" i="12"/>
  <c r="Y12" i="12"/>
  <c r="AB13" i="12"/>
  <c r="AB14" i="12"/>
  <c r="AB8" i="12"/>
  <c r="AA9" i="12"/>
  <c r="Z10" i="12"/>
  <c r="Z12" i="12"/>
  <c r="AA10" i="12"/>
  <c r="X11" i="12"/>
  <c r="Z14" i="12"/>
  <c r="AA12" i="12"/>
  <c r="Z11" i="12"/>
  <c r="X14" i="12"/>
  <c r="Y7" i="12"/>
  <c r="X8" i="12"/>
  <c r="AA11" i="12"/>
  <c r="Y13" i="12"/>
  <c r="Z13" i="12"/>
  <c r="AB9" i="12"/>
  <c r="AB10" i="12"/>
  <c r="Y11" i="12"/>
  <c r="AB12" i="12"/>
  <c r="AB11" i="12"/>
  <c r="Y14" i="12"/>
  <c r="X7" i="12"/>
  <c r="X13" i="12"/>
  <c r="Z7" i="12"/>
  <c r="Y8" i="12"/>
  <c r="X9" i="12"/>
  <c r="AA7" i="12"/>
  <c r="Z8" i="12"/>
  <c r="Y9" i="12"/>
  <c r="X10" i="12"/>
  <c r="X12" i="12"/>
  <c r="AA13" i="12"/>
  <c r="AA14" i="12"/>
  <c r="AA15" i="12"/>
  <c r="AB16" i="12"/>
  <c r="AB19" i="12"/>
  <c r="Z20" i="12"/>
  <c r="Y17" i="12"/>
  <c r="X19" i="12"/>
  <c r="Y21" i="12"/>
  <c r="Y16" i="12"/>
  <c r="AA18" i="12"/>
  <c r="Z19" i="12"/>
  <c r="AB21" i="12"/>
  <c r="AB15" i="12"/>
  <c r="AA20" i="12"/>
  <c r="X21" i="12"/>
  <c r="X15" i="12"/>
  <c r="Y19" i="12"/>
  <c r="AA17" i="12"/>
  <c r="X18" i="12"/>
  <c r="AB20" i="12"/>
  <c r="Y18" i="12"/>
  <c r="X16" i="12"/>
  <c r="Z18" i="12"/>
  <c r="Z21" i="12"/>
  <c r="Y15" i="12"/>
  <c r="X20" i="12"/>
  <c r="AA16" i="12"/>
  <c r="Y20" i="12"/>
  <c r="X17" i="12"/>
  <c r="Z17" i="12"/>
  <c r="Z16" i="12"/>
  <c r="AB18" i="12"/>
  <c r="AA21" i="12"/>
  <c r="Z15" i="12"/>
  <c r="AB17" i="12"/>
  <c r="AA19" i="12"/>
  <c r="X22" i="12"/>
  <c r="Y22" i="12"/>
  <c r="Z22" i="12"/>
  <c r="AA22" i="12"/>
  <c r="AB22" i="12"/>
  <c r="X23" i="12"/>
  <c r="Y23" i="12"/>
  <c r="Z23" i="12"/>
  <c r="AA23" i="12"/>
  <c r="AB23" i="12"/>
  <c r="X24" i="12"/>
  <c r="Y24" i="12"/>
  <c r="Z24" i="12"/>
  <c r="AA24" i="12"/>
  <c r="AB24" i="12"/>
  <c r="X25" i="12"/>
  <c r="Y25" i="12"/>
  <c r="Z25" i="12"/>
  <c r="AA25" i="12"/>
  <c r="AB25" i="12"/>
  <c r="G3" i="11"/>
  <c r="H3" i="11" s="1"/>
  <c r="G4" i="11"/>
  <c r="H4" i="11"/>
  <c r="G5" i="11"/>
  <c r="H5" i="11"/>
  <c r="G6" i="11"/>
  <c r="H6" i="11"/>
  <c r="G10" i="11"/>
  <c r="H10" i="11"/>
  <c r="I10" i="11"/>
  <c r="G11" i="11"/>
  <c r="H11" i="11"/>
  <c r="I11" i="11"/>
  <c r="G12" i="11"/>
  <c r="H12" i="11"/>
  <c r="I12" i="11"/>
  <c r="G13" i="11"/>
  <c r="H13" i="11"/>
  <c r="I13" i="11"/>
  <c r="S19" i="11"/>
  <c r="Y21" i="11"/>
  <c r="S10" i="11"/>
  <c r="G7" i="11"/>
  <c r="A25" i="11" a="1"/>
  <c r="G18" i="11" a="1"/>
  <c r="Y17" i="11"/>
  <c r="P24" i="11"/>
  <c r="L23" i="11"/>
  <c r="A26" i="11"/>
  <c r="G21" i="11"/>
  <c r="T20" i="11"/>
  <c r="AA12" i="11"/>
  <c r="V21" i="11"/>
  <c r="Z11" i="11"/>
  <c r="U20" i="11"/>
  <c r="Y10" i="11"/>
  <c r="G14" i="11"/>
  <c r="H7" i="11"/>
  <c r="A25" i="11" l="1"/>
  <c r="G18" i="11"/>
  <c r="G26" i="11" s="1" a="1"/>
  <c r="G26" i="11" s="1"/>
  <c r="G29" i="11"/>
  <c r="H30" i="11"/>
  <c r="H26" i="11" l="1" a="1"/>
  <c r="H26" i="11" s="1"/>
  <c r="M6" i="11" s="1" a="1"/>
  <c r="M6" i="11" s="1"/>
  <c r="H28" i="11" a="1"/>
  <c r="H28" i="11" s="1"/>
  <c r="G28" i="11" a="1"/>
  <c r="G28" i="11" s="1"/>
  <c r="O14" i="11" s="1" a="1"/>
  <c r="O14" i="11" s="1"/>
  <c r="H27" i="11" a="1"/>
  <c r="H27" i="11" s="1"/>
  <c r="G27" i="11" a="1"/>
  <c r="G27" i="11" s="1"/>
  <c r="AA9" i="11" s="1"/>
  <c r="G25" i="11" a="1"/>
  <c r="G25" i="11" s="1"/>
  <c r="H25" i="11" a="1"/>
  <c r="H25" i="11" s="1"/>
  <c r="Z9" i="11"/>
  <c r="M12" i="11" a="1"/>
  <c r="M12" i="11" s="1"/>
  <c r="M16" i="11" a="1"/>
  <c r="M16" i="11" s="1"/>
  <c r="M20" i="11" a="1"/>
  <c r="M20" i="11" s="1"/>
  <c r="G3" i="10"/>
  <c r="L3" i="10" s="1"/>
  <c r="H3" i="10"/>
  <c r="M3" i="10" s="1"/>
  <c r="I3" i="10"/>
  <c r="N3" i="10"/>
  <c r="G4" i="10"/>
  <c r="H4" i="10"/>
  <c r="I4" i="10"/>
  <c r="L4" i="10"/>
  <c r="M4" i="10"/>
  <c r="N4" i="10"/>
  <c r="G5" i="10"/>
  <c r="H5" i="10"/>
  <c r="I5" i="10"/>
  <c r="L5" i="10"/>
  <c r="M5" i="10"/>
  <c r="N5" i="10"/>
  <c r="G6" i="10"/>
  <c r="H6" i="10"/>
  <c r="I6" i="10"/>
  <c r="L6" i="10"/>
  <c r="M6" i="10"/>
  <c r="N6" i="10"/>
  <c r="P6" i="10"/>
  <c r="N8" i="11" l="1" a="1"/>
  <c r="N8" i="11" s="1"/>
  <c r="N11" i="11" a="1"/>
  <c r="N11" i="11" s="1"/>
  <c r="O10" i="11" a="1"/>
  <c r="O10" i="11" s="1"/>
  <c r="O9" i="11" a="1"/>
  <c r="O9" i="11" s="1"/>
  <c r="O3" i="11" a="1"/>
  <c r="O3" i="11" s="1"/>
  <c r="M4" i="11" a="1"/>
  <c r="M4" i="11" s="1"/>
  <c r="O22" i="11" a="1"/>
  <c r="O22" i="11" s="1"/>
  <c r="O19" i="11" a="1"/>
  <c r="O19" i="11" s="1"/>
  <c r="M18" i="11" a="1"/>
  <c r="M18" i="11" s="1"/>
  <c r="N5" i="11" a="1"/>
  <c r="N5" i="11" s="1"/>
  <c r="N22" i="11" a="1"/>
  <c r="N22" i="11" s="1"/>
  <c r="N19" i="11" a="1"/>
  <c r="N19" i="11" s="1"/>
  <c r="N15" i="11" a="1"/>
  <c r="N15" i="11" s="1"/>
  <c r="O4" i="11" a="1"/>
  <c r="O4" i="11" s="1"/>
  <c r="N14" i="11" a="1"/>
  <c r="N14" i="11" s="1"/>
  <c r="O7" i="11" a="1"/>
  <c r="O7" i="11" s="1"/>
  <c r="O15" i="11" a="1"/>
  <c r="O15" i="11" s="1"/>
  <c r="AB9" i="11"/>
  <c r="N21" i="11" a="1"/>
  <c r="N21" i="11" s="1"/>
  <c r="N13" i="11" a="1"/>
  <c r="N13" i="11" s="1"/>
  <c r="N6" i="11" a="1"/>
  <c r="N6" i="11" s="1"/>
  <c r="M19" i="11" a="1"/>
  <c r="M19" i="11" s="1"/>
  <c r="M9" i="11" a="1"/>
  <c r="M9" i="11" s="1"/>
  <c r="M5" i="11" a="1"/>
  <c r="M5" i="11" s="1"/>
  <c r="O17" i="11" a="1"/>
  <c r="O17" i="11" s="1"/>
  <c r="N9" i="11" a="1"/>
  <c r="N9" i="11" s="1"/>
  <c r="M11" i="11" a="1"/>
  <c r="M11" i="11" s="1"/>
  <c r="M3" i="11" a="1"/>
  <c r="M3" i="11" s="1"/>
  <c r="O16" i="11" a="1"/>
  <c r="O16" i="11" s="1"/>
  <c r="O8" i="11" a="1"/>
  <c r="O8" i="11" s="1"/>
  <c r="N20" i="11" a="1"/>
  <c r="N20" i="11" s="1"/>
  <c r="N12" i="11" a="1"/>
  <c r="N12" i="11" s="1"/>
  <c r="N3" i="11" a="1"/>
  <c r="N3" i="11" s="1"/>
  <c r="M17" i="11" a="1"/>
  <c r="M17" i="11" s="1"/>
  <c r="M10" i="11" a="1"/>
  <c r="M10" i="11" s="1"/>
  <c r="O20" i="11" a="1"/>
  <c r="O20" i="11" s="1"/>
  <c r="O12" i="11" a="1"/>
  <c r="O12" i="11" s="1"/>
  <c r="O5" i="11" a="1"/>
  <c r="O5" i="11" s="1"/>
  <c r="N16" i="11" a="1"/>
  <c r="N16" i="11" s="1"/>
  <c r="N10" i="11" a="1"/>
  <c r="N10" i="11" s="1"/>
  <c r="M22" i="11" a="1"/>
  <c r="M22" i="11" s="1"/>
  <c r="M14" i="11" a="1"/>
  <c r="M14" i="11" s="1"/>
  <c r="M8" i="11" a="1"/>
  <c r="M8" i="11" s="1"/>
  <c r="O21" i="11" a="1"/>
  <c r="O21" i="11" s="1"/>
  <c r="O13" i="11" a="1"/>
  <c r="O13" i="11" s="1"/>
  <c r="O6" i="11" a="1"/>
  <c r="O6" i="11" s="1"/>
  <c r="N18" i="11" a="1"/>
  <c r="N18" i="11" s="1"/>
  <c r="N7" i="11" a="1"/>
  <c r="N7" i="11" s="1"/>
  <c r="N4" i="11" a="1"/>
  <c r="N4" i="11" s="1"/>
  <c r="M15" i="11" a="1"/>
  <c r="M15" i="11" s="1"/>
  <c r="M7" i="11" a="1"/>
  <c r="M7" i="11" s="1"/>
  <c r="O18" i="11" a="1"/>
  <c r="O18" i="11" s="1"/>
  <c r="O11" i="11" a="1"/>
  <c r="O11" i="11" s="1"/>
  <c r="N17" i="11" a="1"/>
  <c r="N17" i="11" s="1"/>
  <c r="M21" i="11" a="1"/>
  <c r="M21" i="11" s="1"/>
  <c r="M13" i="11" a="1"/>
  <c r="M13" i="11" s="1"/>
  <c r="L20" i="11" a="1"/>
  <c r="L20" i="11" s="1"/>
  <c r="L8" i="11" a="1"/>
  <c r="L8" i="11" s="1"/>
  <c r="L15" i="11" a="1"/>
  <c r="L15" i="11" s="1"/>
  <c r="L5" i="11" a="1"/>
  <c r="L5" i="11" s="1"/>
  <c r="L10" i="11" a="1"/>
  <c r="L10" i="11" s="1"/>
  <c r="L18" i="11" a="1"/>
  <c r="L18" i="11" s="1"/>
  <c r="L6" i="11" a="1"/>
  <c r="L6" i="11" s="1"/>
  <c r="L11" i="11" a="1"/>
  <c r="L11" i="11" s="1"/>
  <c r="L19" i="11" a="1"/>
  <c r="L19" i="11" s="1"/>
  <c r="L12" i="11" a="1"/>
  <c r="L12" i="11" s="1"/>
  <c r="L3" i="11" a="1"/>
  <c r="L3" i="11" s="1"/>
  <c r="L4" i="11" a="1"/>
  <c r="L4" i="11" s="1"/>
  <c r="L13" i="11" a="1"/>
  <c r="L13" i="11" s="1"/>
  <c r="L21" i="11" a="1"/>
  <c r="L21" i="11" s="1"/>
  <c r="L7" i="11" a="1"/>
  <c r="L7" i="11" s="1"/>
  <c r="L14" i="11" a="1"/>
  <c r="L14" i="11" s="1"/>
  <c r="P14" i="11" s="1"/>
  <c r="L22" i="11" a="1"/>
  <c r="L22" i="11" s="1"/>
  <c r="L16" i="11" a="1"/>
  <c r="L16" i="11" s="1"/>
  <c r="Y9" i="11"/>
  <c r="Z16" i="11" s="1" a="1"/>
  <c r="Z16" i="11" s="1"/>
  <c r="L9" i="11" a="1"/>
  <c r="L9" i="11" s="1"/>
  <c r="L17" i="11" a="1"/>
  <c r="L17" i="11" s="1"/>
  <c r="G7" i="10"/>
  <c r="H7" i="10"/>
  <c r="I7" i="10"/>
  <c r="L7" i="10"/>
  <c r="M7" i="10"/>
  <c r="N7" i="10"/>
  <c r="G8" i="10"/>
  <c r="P9" i="11" l="1"/>
  <c r="P17" i="11"/>
  <c r="P10" i="11"/>
  <c r="P5" i="11"/>
  <c r="P19" i="11"/>
  <c r="P20" i="11"/>
  <c r="P8" i="11"/>
  <c r="V6" i="11" s="1"/>
  <c r="P7" i="11"/>
  <c r="P6" i="11"/>
  <c r="P22" i="11"/>
  <c r="S8" i="11" s="1"/>
  <c r="P21" i="11"/>
  <c r="P18" i="11"/>
  <c r="T8" i="11" s="1"/>
  <c r="P13" i="11"/>
  <c r="S7" i="11" s="1"/>
  <c r="P4" i="11"/>
  <c r="P3" i="11"/>
  <c r="T5" i="11" s="1"/>
  <c r="P15" i="11"/>
  <c r="P16" i="11"/>
  <c r="U7" i="11" s="1"/>
  <c r="P12" i="11"/>
  <c r="U6" i="11" s="1"/>
  <c r="P11" i="11"/>
  <c r="Y16" i="11" a="1"/>
  <c r="Y16" i="11" s="1"/>
  <c r="AA16" i="11" a="1"/>
  <c r="AA16" i="11" s="1"/>
  <c r="AB16" i="11" a="1"/>
  <c r="AB16" i="11" s="1"/>
  <c r="V7" i="11"/>
  <c r="V8" i="11"/>
  <c r="L8" i="10"/>
  <c r="M8" i="10"/>
  <c r="N8" i="10"/>
  <c r="G9" i="10"/>
  <c r="S6" i="11" l="1"/>
  <c r="T6" i="11"/>
  <c r="S5" i="11"/>
  <c r="S9" i="11" s="1"/>
  <c r="T7" i="11"/>
  <c r="T9" i="11" s="1"/>
  <c r="U5" i="11"/>
  <c r="Y20" i="11" a="1"/>
  <c r="Y20" i="11" s="1"/>
  <c r="V5" i="11"/>
  <c r="U8" i="11"/>
  <c r="W8" i="11" s="1"/>
  <c r="T17" i="11" s="1"/>
  <c r="W6" i="11"/>
  <c r="T15" i="11" s="1"/>
  <c r="L9" i="10"/>
  <c r="M9" i="10"/>
  <c r="N9" i="10"/>
  <c r="L10" i="10"/>
  <c r="M10" i="10"/>
  <c r="N10" i="10"/>
  <c r="L11" i="10"/>
  <c r="M11" i="10"/>
  <c r="N11" i="10"/>
  <c r="L12" i="10"/>
  <c r="M12" i="10"/>
  <c r="N12" i="10"/>
  <c r="G13" i="10"/>
  <c r="H13" i="10"/>
  <c r="I13" i="10"/>
  <c r="L13" i="10"/>
  <c r="M13" i="10"/>
  <c r="N13" i="10"/>
  <c r="P13" i="10"/>
  <c r="S14" i="11" a="1"/>
  <c r="W5" i="11" l="1"/>
  <c r="T14" i="11" s="1"/>
  <c r="S14" i="11"/>
  <c r="S18" i="11" s="1"/>
  <c r="U17" i="11"/>
  <c r="V17" i="11" s="1"/>
  <c r="W7" i="11"/>
  <c r="T16" i="11" s="1"/>
  <c r="U16" i="11" s="1"/>
  <c r="V16" i="11" s="1"/>
  <c r="U9" i="11"/>
  <c r="V9" i="11"/>
  <c r="U15" i="11"/>
  <c r="V15" i="11" s="1"/>
  <c r="G14" i="10"/>
  <c r="H14" i="10"/>
  <c r="I14" i="10"/>
  <c r="L14" i="10"/>
  <c r="M14" i="10"/>
  <c r="N14" i="10"/>
  <c r="G15" i="10"/>
  <c r="H15" i="10"/>
  <c r="I15" i="10"/>
  <c r="L15" i="10"/>
  <c r="M15" i="10"/>
  <c r="N15" i="10"/>
  <c r="G16" i="10"/>
  <c r="H16" i="10"/>
  <c r="I16" i="10"/>
  <c r="L16" i="10"/>
  <c r="M16" i="10"/>
  <c r="N16" i="10"/>
  <c r="L17" i="10"/>
  <c r="M17" i="10"/>
  <c r="N17" i="10"/>
  <c r="L18" i="10"/>
  <c r="M18" i="10"/>
  <c r="N18" i="10"/>
  <c r="L19" i="10"/>
  <c r="M19" i="10"/>
  <c r="N19" i="10"/>
  <c r="L20" i="10"/>
  <c r="M20" i="10"/>
  <c r="N20" i="10"/>
  <c r="F21" i="10" a="1"/>
  <c r="F21" i="10" s="1"/>
  <c r="L21" i="10"/>
  <c r="M21" i="10"/>
  <c r="N21" i="10"/>
  <c r="L22" i="10"/>
  <c r="M22" i="10"/>
  <c r="N22" i="10"/>
  <c r="A29" i="10" a="1"/>
  <c r="M26" i="10"/>
  <c r="L25" i="10"/>
  <c r="M25" i="10"/>
  <c r="M24" i="10"/>
  <c r="P22" i="10"/>
  <c r="L24" i="10"/>
  <c r="M23" i="10"/>
  <c r="G17" i="10"/>
  <c r="N26" i="10"/>
  <c r="F24" i="10"/>
  <c r="L23" i="10"/>
  <c r="N24" i="10"/>
  <c r="U23" i="10"/>
  <c r="N25" i="10"/>
  <c r="L26" i="10"/>
  <c r="N23" i="10"/>
  <c r="U14" i="11" l="1"/>
  <c r="V14" i="11" s="1"/>
  <c r="T18" i="11"/>
  <c r="U18" i="11" s="1"/>
  <c r="V18" i="11" s="1"/>
  <c r="W9" i="11"/>
  <c r="P3" i="10" a="1"/>
  <c r="P3" i="10" s="1"/>
  <c r="P10" i="10" s="1" a="1"/>
  <c r="A29" i="10"/>
  <c r="G29" i="10" a="1"/>
  <c r="G29" i="10" s="1"/>
  <c r="P29" i="10" a="1"/>
  <c r="P29" i="10" s="1"/>
  <c r="G32" i="10"/>
  <c r="A30" i="10"/>
  <c r="P32" i="10"/>
  <c r="P10" i="10" l="1"/>
  <c r="G34" i="10" a="1"/>
  <c r="G34" i="10" s="1"/>
  <c r="P34" i="10" a="1"/>
  <c r="P34" i="10" s="1"/>
  <c r="P37" i="10"/>
  <c r="G37" i="10"/>
  <c r="P16" i="10" a="1"/>
  <c r="U3" i="10" l="1" a="1"/>
  <c r="U3" i="10" s="1"/>
  <c r="P16" i="10"/>
  <c r="G39" i="10" a="1"/>
  <c r="G39" i="10" s="1"/>
  <c r="P39" i="10" a="1"/>
  <c r="P39" i="10" s="1"/>
  <c r="G44" i="10" a="1"/>
  <c r="G44" i="10" s="1"/>
  <c r="P44" i="10" a="1"/>
  <c r="P44" i="10" s="1"/>
  <c r="G49" i="10" a="1"/>
  <c r="G49" i="10" s="1"/>
  <c r="P49" i="10" a="1"/>
  <c r="P49" i="10" s="1"/>
  <c r="F3" i="9"/>
  <c r="G3" i="9"/>
  <c r="H3" i="9"/>
  <c r="F4" i="9"/>
  <c r="G4" i="9"/>
  <c r="H4" i="9"/>
  <c r="F8" i="9"/>
  <c r="G8" i="9"/>
  <c r="H8" i="9"/>
  <c r="N7" i="9"/>
  <c r="G42" i="10"/>
  <c r="J6" i="9"/>
  <c r="P47" i="10"/>
  <c r="P42" i="10"/>
  <c r="F5" i="9"/>
  <c r="G52" i="10"/>
  <c r="F9" i="9"/>
  <c r="P52" i="10"/>
  <c r="G47" i="10"/>
  <c r="J3" i="9" l="1" a="1"/>
  <c r="J3" i="9" s="1"/>
  <c r="F12" i="9" a="1"/>
  <c r="F12" i="9" s="1"/>
  <c r="G12" i="9" a="1"/>
  <c r="G12" i="9" s="1"/>
  <c r="H12" i="9" a="1"/>
  <c r="H12" i="9" s="1"/>
  <c r="J15" i="9" a="1"/>
  <c r="R12" i="9"/>
  <c r="J13" i="9"/>
  <c r="J15" i="9" l="1"/>
  <c r="J21" i="9" s="1" a="1"/>
  <c r="J21" i="9" s="1"/>
  <c r="N4" i="9" s="1" a="1"/>
  <c r="F17" i="9" a="1"/>
  <c r="F17" i="9" s="1"/>
  <c r="J10" i="9" s="1" a="1"/>
  <c r="J10" i="9" s="1"/>
  <c r="G17" i="9" a="1"/>
  <c r="G17" i="9" s="1"/>
  <c r="H17" i="9" a="1"/>
  <c r="H17" i="9" s="1"/>
  <c r="F21" i="9"/>
  <c r="N17" i="9"/>
  <c r="J24" i="9"/>
  <c r="G22" i="9"/>
  <c r="F22" i="9"/>
  <c r="A21" i="9" a="1"/>
  <c r="G21" i="9"/>
  <c r="J18" i="9"/>
  <c r="A22" i="9"/>
  <c r="I3" i="8" a="1"/>
  <c r="H21" i="9"/>
  <c r="H22" i="9"/>
  <c r="A21" i="9" l="1"/>
  <c r="N4" i="9"/>
  <c r="I3" i="8"/>
  <c r="N11" i="9" a="1"/>
  <c r="M3" i="8" a="1"/>
  <c r="R3" i="9" l="1" a="1"/>
  <c r="R3" i="9" s="1"/>
  <c r="N11" i="9"/>
  <c r="M3" i="8"/>
  <c r="B9" i="8"/>
  <c r="C9" i="8"/>
  <c r="D9" i="8"/>
  <c r="B12" i="8"/>
  <c r="C12" i="8"/>
  <c r="D12" i="8"/>
  <c r="I6" i="8"/>
  <c r="E9" i="8"/>
  <c r="I10" i="8"/>
  <c r="M6" i="8"/>
  <c r="F6" i="8"/>
  <c r="I12" i="8" a="1"/>
  <c r="F3" i="8" l="1" a="1"/>
  <c r="F3" i="8" s="1"/>
  <c r="I12" i="8"/>
  <c r="I9" i="8" a="1"/>
  <c r="B13" i="8"/>
  <c r="I13" i="8"/>
  <c r="I9" i="8" l="1"/>
  <c r="B23" i="8"/>
  <c r="C23" i="8"/>
  <c r="D23" i="8"/>
  <c r="B26" i="8"/>
  <c r="C26" i="8"/>
  <c r="D26" i="8"/>
  <c r="M20" i="8"/>
  <c r="I24" i="8"/>
  <c r="M17" i="8" a="1"/>
  <c r="I20" i="8"/>
  <c r="F20" i="8"/>
  <c r="I26" i="8" a="1"/>
  <c r="E23" i="8"/>
  <c r="I17" i="8" a="1"/>
  <c r="I17" i="8" l="1"/>
  <c r="M17" i="8"/>
  <c r="F17" i="8" a="1"/>
  <c r="F17" i="8" s="1"/>
  <c r="I26" i="8"/>
  <c r="B27" i="8"/>
  <c r="I27" i="8"/>
  <c r="I23" i="8" a="1"/>
  <c r="I23" i="8" l="1"/>
  <c r="H5" i="7" a="1"/>
  <c r="H5" i="7" s="1"/>
  <c r="H6" i="7"/>
  <c r="I6" i="7"/>
  <c r="J6" i="7"/>
  <c r="K6" i="7"/>
  <c r="H7" i="7"/>
  <c r="I7" i="7"/>
  <c r="J7" i="7"/>
  <c r="K7" i="7"/>
  <c r="H8" i="7"/>
  <c r="I8" i="7"/>
  <c r="J8" i="7"/>
  <c r="K8" i="7"/>
  <c r="H9" i="7"/>
  <c r="I9" i="7"/>
  <c r="J9" i="7"/>
  <c r="K9" i="7"/>
  <c r="H13" i="7" a="1"/>
  <c r="H13" i="7" s="1"/>
  <c r="G14" i="7" a="1"/>
  <c r="G14" i="7" s="1"/>
  <c r="H14" i="7" a="1"/>
  <c r="K13" i="7" l="1"/>
  <c r="J13" i="7"/>
  <c r="I13" i="7"/>
  <c r="K5" i="7"/>
  <c r="J5" i="7"/>
  <c r="I5" i="7"/>
  <c r="H14" i="7"/>
  <c r="I14" i="7"/>
  <c r="J14" i="7"/>
  <c r="K14" i="7"/>
  <c r="G15" i="7"/>
  <c r="H15" i="7"/>
  <c r="I15" i="7"/>
  <c r="J15" i="7"/>
  <c r="K15" i="7"/>
  <c r="G16" i="7"/>
  <c r="H16" i="7"/>
  <c r="I16" i="7"/>
  <c r="J16" i="7"/>
  <c r="K16" i="7"/>
  <c r="G17" i="7"/>
  <c r="H17" i="7"/>
  <c r="I17" i="7"/>
  <c r="J17" i="7"/>
  <c r="K17" i="7"/>
  <c r="H22" i="7" a="1"/>
  <c r="J22" i="7" s="1"/>
  <c r="G23" i="7" a="1"/>
  <c r="G23" i="7" s="1"/>
  <c r="I18" i="7" l="1"/>
  <c r="J18" i="7"/>
  <c r="K18" i="7"/>
  <c r="H18" i="7"/>
  <c r="H23" i="7" a="1"/>
  <c r="K24" i="7" s="1"/>
  <c r="I22" i="7"/>
  <c r="H22" i="7"/>
  <c r="K22" i="7"/>
  <c r="G24" i="7"/>
  <c r="G25" i="7"/>
  <c r="G26" i="7"/>
  <c r="H30" i="7" a="1"/>
  <c r="I30" i="7" s="1"/>
  <c r="G31" i="7" a="1"/>
  <c r="G31" i="7" s="1"/>
  <c r="L18" i="7" l="1"/>
  <c r="K25" i="7"/>
  <c r="I24" i="7"/>
  <c r="H30" i="7"/>
  <c r="J24" i="7"/>
  <c r="J25" i="7"/>
  <c r="H24" i="7"/>
  <c r="K26" i="7"/>
  <c r="I25" i="7"/>
  <c r="K30" i="7"/>
  <c r="J26" i="7"/>
  <c r="H25" i="7"/>
  <c r="I26" i="7"/>
  <c r="J30" i="7"/>
  <c r="H26" i="7"/>
  <c r="K23" i="7"/>
  <c r="H23" i="7"/>
  <c r="I23" i="7"/>
  <c r="J23" i="7"/>
  <c r="G32" i="7"/>
  <c r="G33" i="7"/>
  <c r="G34" i="7"/>
  <c r="H39" i="7" a="1"/>
  <c r="H39" i="7" s="1"/>
  <c r="H44" i="7" a="1"/>
  <c r="M23" i="7" a="1"/>
  <c r="M24" i="7" l="1"/>
  <c r="M23" i="7"/>
  <c r="M25" i="7"/>
  <c r="M26" i="7"/>
  <c r="K39" i="7"/>
  <c r="J39" i="7"/>
  <c r="I39" i="7"/>
  <c r="H44" i="7"/>
  <c r="I44" i="7"/>
  <c r="J44" i="7"/>
  <c r="K44" i="7"/>
  <c r="H45" i="7"/>
  <c r="H53" i="7" s="1" a="1"/>
  <c r="I45" i="7"/>
  <c r="J45" i="7"/>
  <c r="K45" i="7"/>
  <c r="H46" i="7"/>
  <c r="I46" i="7"/>
  <c r="J46" i="7"/>
  <c r="K46" i="7"/>
  <c r="H47" i="7"/>
  <c r="I47" i="7"/>
  <c r="J47" i="7"/>
  <c r="K47" i="7"/>
  <c r="H48" i="7"/>
  <c r="I48" i="7"/>
  <c r="J48" i="7"/>
  <c r="K48" i="7"/>
  <c r="I52" i="7"/>
  <c r="J52" i="7"/>
  <c r="K52" i="7"/>
  <c r="G53" i="7" a="1"/>
  <c r="G56" i="7" s="1"/>
  <c r="I69" i="7"/>
  <c r="G70" i="7" a="1"/>
  <c r="G70" i="7" s="1"/>
  <c r="I78" i="7"/>
  <c r="G79" i="7" a="1"/>
  <c r="G79" i="7" s="1"/>
  <c r="H61" i="7" l="1" a="1"/>
  <c r="H64" i="7" s="1"/>
  <c r="I54" i="7"/>
  <c r="K55" i="7"/>
  <c r="K56" i="7"/>
  <c r="H53" i="7"/>
  <c r="J54" i="7"/>
  <c r="I53" i="7"/>
  <c r="K54" i="7"/>
  <c r="J55" i="7"/>
  <c r="J53" i="7"/>
  <c r="H56" i="7"/>
  <c r="H55" i="7"/>
  <c r="J56" i="7"/>
  <c r="K53" i="7"/>
  <c r="I56" i="7"/>
  <c r="I55" i="7"/>
  <c r="H54" i="7"/>
  <c r="G71" i="7"/>
  <c r="G55" i="7"/>
  <c r="G53" i="7"/>
  <c r="G54" i="7"/>
  <c r="G72" i="7"/>
  <c r="G73" i="7"/>
  <c r="G80" i="7"/>
  <c r="G81" i="7"/>
  <c r="G82" i="7"/>
  <c r="H87" i="7" a="1"/>
  <c r="H87" i="7" s="1"/>
  <c r="I87" i="7"/>
  <c r="J87" i="7"/>
  <c r="K87" i="7"/>
  <c r="G88" i="7" a="1"/>
  <c r="G90" i="7" s="1"/>
  <c r="H95" i="7" a="1"/>
  <c r="K95" i="7" s="1"/>
  <c r="J95" i="7"/>
  <c r="G96" i="7" a="1"/>
  <c r="G96" i="7" s="1"/>
  <c r="G97" i="7"/>
  <c r="I103" i="7"/>
  <c r="G104" i="7" a="1"/>
  <c r="G104" i="7" s="1"/>
  <c r="I111" i="7"/>
  <c r="G112" i="7" a="1"/>
  <c r="G112" i="7" s="1"/>
  <c r="H63" i="7" l="1"/>
  <c r="H61" i="7"/>
  <c r="H62" i="7"/>
  <c r="M55" i="7"/>
  <c r="M54" i="7"/>
  <c r="G91" i="7"/>
  <c r="G106" i="7"/>
  <c r="G105" i="7"/>
  <c r="G98" i="7"/>
  <c r="H95" i="7"/>
  <c r="G89" i="7"/>
  <c r="M56" i="7"/>
  <c r="G107" i="7"/>
  <c r="G88" i="7"/>
  <c r="H70" i="7" a="1"/>
  <c r="M53" i="7"/>
  <c r="I95" i="7"/>
  <c r="G99" i="7"/>
  <c r="G113" i="7"/>
  <c r="G114" i="7"/>
  <c r="G115" i="7"/>
  <c r="H65" i="7" l="1"/>
  <c r="I61" i="7" s="1"/>
  <c r="J61" i="7" s="1"/>
  <c r="I71" i="7"/>
  <c r="H71" i="7"/>
  <c r="H73" i="7"/>
  <c r="H70" i="7"/>
  <c r="I73" i="7"/>
  <c r="I70" i="7"/>
  <c r="H72" i="7"/>
  <c r="I72" i="7"/>
  <c r="I122" i="7"/>
  <c r="G123" i="7" a="1"/>
  <c r="G123" i="7" s="1"/>
  <c r="H79" i="7" a="1"/>
  <c r="I62" i="7" l="1"/>
  <c r="J62" i="7" s="1"/>
  <c r="I63" i="7"/>
  <c r="I64" i="7"/>
  <c r="I80" i="7"/>
  <c r="H82" i="7"/>
  <c r="H80" i="7"/>
  <c r="H79" i="7"/>
  <c r="I82" i="7"/>
  <c r="I79" i="7"/>
  <c r="H81" i="7"/>
  <c r="I81" i="7"/>
  <c r="K72" i="7"/>
  <c r="L72" i="7" s="1"/>
  <c r="I74" i="7"/>
  <c r="H74" i="7"/>
  <c r="K70" i="7"/>
  <c r="H88" i="7" a="1"/>
  <c r="K73" i="7"/>
  <c r="L73" i="7" s="1"/>
  <c r="K71" i="7"/>
  <c r="L71" i="7" s="1"/>
  <c r="G124" i="7"/>
  <c r="G125" i="7"/>
  <c r="G126" i="7"/>
  <c r="O5" i="6"/>
  <c r="J63" i="7" l="1"/>
  <c r="J64" i="7" s="1"/>
  <c r="K82" i="7"/>
  <c r="L82" i="7" s="1"/>
  <c r="K81" i="7"/>
  <c r="L81" i="7" s="1"/>
  <c r="I83" i="7"/>
  <c r="L70" i="7"/>
  <c r="L74" i="7" s="1"/>
  <c r="K74" i="7"/>
  <c r="H104" i="7" a="1"/>
  <c r="K79" i="7"/>
  <c r="H83" i="7"/>
  <c r="J89" i="7"/>
  <c r="H91" i="7"/>
  <c r="H88" i="7"/>
  <c r="H96" i="7" s="1" a="1"/>
  <c r="K89" i="7"/>
  <c r="I91" i="7"/>
  <c r="I88" i="7"/>
  <c r="J91" i="7"/>
  <c r="J88" i="7"/>
  <c r="H90" i="7"/>
  <c r="K91" i="7"/>
  <c r="K88" i="7"/>
  <c r="I90" i="7"/>
  <c r="J90" i="7"/>
  <c r="K90" i="7"/>
  <c r="I89" i="7"/>
  <c r="H89" i="7"/>
  <c r="K80" i="7"/>
  <c r="L80" i="7" s="1"/>
  <c r="B8" i="6"/>
  <c r="C8" i="6"/>
  <c r="D8" i="6"/>
  <c r="E8" i="6"/>
  <c r="F8" i="6"/>
  <c r="J8" i="6"/>
  <c r="H8" i="6"/>
  <c r="B12" i="6" a="1"/>
  <c r="M11" i="6"/>
  <c r="J98" i="7" l="1"/>
  <c r="H97" i="7"/>
  <c r="K98" i="7"/>
  <c r="K97" i="7"/>
  <c r="K99" i="7"/>
  <c r="I97" i="7"/>
  <c r="J97" i="7"/>
  <c r="H99" i="7"/>
  <c r="H96" i="7"/>
  <c r="I99" i="7"/>
  <c r="K96" i="7"/>
  <c r="I96" i="7"/>
  <c r="J99" i="7"/>
  <c r="J96" i="7"/>
  <c r="H98" i="7"/>
  <c r="I98" i="7"/>
  <c r="K83" i="7"/>
  <c r="L79" i="7"/>
  <c r="L83" i="7" s="1"/>
  <c r="H106" i="7"/>
  <c r="I104" i="7"/>
  <c r="I105" i="7"/>
  <c r="I106" i="7"/>
  <c r="H105" i="7"/>
  <c r="H104" i="7"/>
  <c r="H107" i="7"/>
  <c r="I107" i="7"/>
  <c r="B12" i="6"/>
  <c r="B16" i="6" s="1"/>
  <c r="C16" i="6"/>
  <c r="D16" i="6"/>
  <c r="E16" i="6"/>
  <c r="M20" i="6"/>
  <c r="J16" i="6"/>
  <c r="H16" i="6"/>
  <c r="H17" i="6"/>
  <c r="B21" i="6" a="1"/>
  <c r="F17" i="6"/>
  <c r="K16" i="6"/>
  <c r="R14" i="6"/>
  <c r="B18" i="6"/>
  <c r="M15" i="6"/>
  <c r="B17" i="6"/>
  <c r="K17" i="6"/>
  <c r="O13" i="6"/>
  <c r="F16" i="6" l="1"/>
  <c r="H4" i="6"/>
  <c r="H5" i="6"/>
  <c r="H6" i="6"/>
  <c r="B21" i="6"/>
  <c r="H3" i="6" s="1"/>
  <c r="P22" i="6"/>
  <c r="H7" i="6" l="1"/>
  <c r="I3" i="6" s="1"/>
  <c r="H25" i="6"/>
  <c r="M25" i="6"/>
  <c r="K25" i="6"/>
  <c r="I5" i="6" l="1"/>
  <c r="I6" i="6"/>
  <c r="I4" i="6"/>
  <c r="J3" i="6"/>
  <c r="O25" i="6"/>
  <c r="P25" i="6"/>
  <c r="P26" i="6" s="1"/>
  <c r="AA25" i="6" a="1"/>
  <c r="AA25" i="6" s="1"/>
  <c r="O26" i="6"/>
  <c r="T26" i="6"/>
  <c r="U26" i="6"/>
  <c r="V26" i="6"/>
  <c r="W26" i="6"/>
  <c r="X26" i="6"/>
  <c r="T29" i="6"/>
  <c r="T32" i="6" s="1"/>
  <c r="U29" i="6"/>
  <c r="V29" i="6"/>
  <c r="W29" i="6"/>
  <c r="X29" i="6"/>
  <c r="B31" i="6" a="1"/>
  <c r="F32" i="6" s="1"/>
  <c r="P29" i="6" a="1"/>
  <c r="AA29" i="6"/>
  <c r="K29" i="6"/>
  <c r="H26" i="6"/>
  <c r="O27" i="6"/>
  <c r="T30" i="6"/>
  <c r="AF29" i="6"/>
  <c r="B28" i="6"/>
  <c r="O42" i="6"/>
  <c r="AF25" i="6" a="1"/>
  <c r="X27" i="6"/>
  <c r="T27" i="6"/>
  <c r="X30" i="6"/>
  <c r="K26" i="6"/>
  <c r="P27" i="6"/>
  <c r="W32" i="6" l="1"/>
  <c r="V32" i="6"/>
  <c r="U32" i="6"/>
  <c r="I7" i="6"/>
  <c r="X32" i="6"/>
  <c r="P29" i="6"/>
  <c r="P30" i="6"/>
  <c r="P31" i="6"/>
  <c r="P32" i="6"/>
  <c r="AF25" i="6"/>
  <c r="J4" i="6"/>
  <c r="J5" i="6" s="1"/>
  <c r="J6" i="6" s="1"/>
  <c r="I11" i="6"/>
  <c r="H13" i="6"/>
  <c r="I13" i="6"/>
  <c r="H12" i="6"/>
  <c r="I12" i="6"/>
  <c r="H14" i="6"/>
  <c r="I14" i="6"/>
  <c r="B31" i="6"/>
  <c r="F33" i="6"/>
  <c r="P33" i="6"/>
  <c r="AA32" i="6" a="1"/>
  <c r="T33" i="6"/>
  <c r="K12" i="6" l="1"/>
  <c r="L12" i="6" s="1"/>
  <c r="K13" i="6"/>
  <c r="L13" i="6" s="1"/>
  <c r="AC32" i="6"/>
  <c r="AD32" i="6"/>
  <c r="AB32" i="6"/>
  <c r="AA32" i="6"/>
  <c r="H11" i="6"/>
  <c r="F31" i="6"/>
  <c r="K14" i="6"/>
  <c r="L14" i="6" s="1"/>
  <c r="I15" i="6"/>
  <c r="AA33" i="6"/>
  <c r="AB33" i="6"/>
  <c r="AC33" i="6"/>
  <c r="AD33" i="6"/>
  <c r="F34" i="6"/>
  <c r="H20" i="6" a="1"/>
  <c r="P34" i="6"/>
  <c r="H20" i="6" l="1"/>
  <c r="K21" i="6"/>
  <c r="L21" i="6" s="1"/>
  <c r="K22" i="6"/>
  <c r="L22" i="6" s="1"/>
  <c r="K23" i="6"/>
  <c r="L23" i="6" s="1"/>
  <c r="I24" i="6"/>
  <c r="K11" i="6"/>
  <c r="H15" i="6"/>
  <c r="J15" i="6" s="1"/>
  <c r="AA34" i="6"/>
  <c r="AB34" i="6"/>
  <c r="AC34" i="6"/>
  <c r="AD34" i="6"/>
  <c r="B35" i="6"/>
  <c r="F35" i="6"/>
  <c r="K20" i="6" l="1"/>
  <c r="H24" i="6"/>
  <c r="O38" i="6" a="1"/>
  <c r="O38" i="6" s="1"/>
  <c r="O45" i="6" s="1" a="1"/>
  <c r="L11" i="6"/>
  <c r="L15" i="6" s="1"/>
  <c r="K15" i="6"/>
  <c r="AA35" i="6"/>
  <c r="AB35" i="6"/>
  <c r="AC35" i="6"/>
  <c r="AD35" i="6"/>
  <c r="B36" i="6"/>
  <c r="C36" i="6"/>
  <c r="D36" i="6"/>
  <c r="E36" i="6"/>
  <c r="F37" i="6"/>
  <c r="O49" i="6"/>
  <c r="AA36" i="6"/>
  <c r="B37" i="6"/>
  <c r="O45" i="6" l="1"/>
  <c r="T38" i="6" s="1"/>
  <c r="W38" i="6"/>
  <c r="V38" i="6"/>
  <c r="U38" i="6"/>
  <c r="F36" i="6"/>
  <c r="L20" i="6"/>
  <c r="K24" i="6"/>
  <c r="AA38" i="6"/>
  <c r="AB38" i="6"/>
  <c r="AC38" i="6"/>
  <c r="AD38" i="6"/>
  <c r="B39" i="6" a="1"/>
  <c r="B39" i="6" s="1"/>
  <c r="T39" i="6"/>
  <c r="R9" i="6" a="1"/>
  <c r="O3" i="6" a="1"/>
  <c r="AA39" i="6"/>
  <c r="AE39" i="6"/>
  <c r="AE38" i="6" l="1"/>
  <c r="AE42" i="6" s="1"/>
  <c r="R9" i="6"/>
  <c r="O3" i="6"/>
  <c r="K28" i="6"/>
  <c r="L24" i="6"/>
  <c r="M24" i="6" s="1"/>
  <c r="AA42" i="6"/>
  <c r="AB42" i="6"/>
  <c r="AC42" i="6"/>
  <c r="AD42" i="6"/>
  <c r="O9" i="6" a="1"/>
  <c r="AA43" i="6"/>
  <c r="B43" i="6"/>
  <c r="O9" i="6" l="1"/>
  <c r="P16" i="6" s="1" a="1"/>
  <c r="P16" i="6" s="1"/>
  <c r="A1" i="5"/>
  <c r="A2" i="5"/>
  <c r="B2" i="5"/>
  <c r="C2" i="5"/>
  <c r="D2" i="5"/>
  <c r="A3" i="5"/>
  <c r="B3" i="5"/>
  <c r="C3" i="5"/>
  <c r="D3" i="5"/>
  <c r="A4" i="5"/>
  <c r="B4" i="5"/>
  <c r="C4" i="5"/>
  <c r="D4" i="5"/>
  <c r="A5" i="5"/>
  <c r="B5" i="5"/>
  <c r="C5" i="5"/>
  <c r="D5" i="5"/>
  <c r="A6" i="5"/>
  <c r="B6" i="5"/>
  <c r="C6" i="5"/>
  <c r="D6" i="5"/>
  <c r="A7" i="5"/>
  <c r="B7" i="5"/>
  <c r="C7" i="5"/>
  <c r="D7" i="5"/>
  <c r="F2" i="5" a="1"/>
  <c r="F8" i="5"/>
  <c r="M9" i="5"/>
  <c r="F2" i="5" l="1"/>
  <c r="A11" i="5" a="1"/>
  <c r="A11" i="5" s="1"/>
  <c r="M2" i="5" a="1"/>
  <c r="F11" i="5" a="1"/>
  <c r="M2" i="5" l="1"/>
  <c r="O20" i="5" s="1"/>
  <c r="F11" i="5"/>
  <c r="F20" i="5" s="1" a="1"/>
  <c r="F20" i="5" s="1"/>
  <c r="A20" i="5" a="1"/>
  <c r="A20" i="5" s="1"/>
  <c r="K21" i="5"/>
  <c r="O21" i="5"/>
  <c r="K22" i="5"/>
  <c r="O22" i="5"/>
  <c r="K23" i="5"/>
  <c r="O23" i="5"/>
  <c r="B8" i="4"/>
  <c r="C8" i="4"/>
  <c r="D8" i="4"/>
  <c r="E8" i="4"/>
  <c r="B12" i="4" a="1"/>
  <c r="B12" i="4" s="1"/>
  <c r="C12" i="4" a="1"/>
  <c r="C12" i="4" s="1"/>
  <c r="D12" i="4" a="1"/>
  <c r="D12" i="4" s="1"/>
  <c r="E12" i="4" a="1"/>
  <c r="E12" i="4" s="1"/>
  <c r="Z13" i="4"/>
  <c r="AA13" i="4"/>
  <c r="B18" i="4"/>
  <c r="A15" i="5"/>
  <c r="N9" i="4"/>
  <c r="A26" i="5"/>
  <c r="G6" i="4"/>
  <c r="P18" i="4"/>
  <c r="K24" i="5"/>
  <c r="O24" i="5"/>
  <c r="M15" i="5"/>
  <c r="M11" i="5" a="1"/>
  <c r="B9" i="4"/>
  <c r="F26" i="5"/>
  <c r="N18" i="4"/>
  <c r="S11" i="4"/>
  <c r="F17" i="5"/>
  <c r="V7" i="4"/>
  <c r="K20" i="5" l="1"/>
  <c r="M11" i="5"/>
  <c r="G2" i="4" a="1"/>
  <c r="B19" i="4"/>
  <c r="C19" i="4"/>
  <c r="D19" i="4"/>
  <c r="E19" i="4"/>
  <c r="S21" i="4"/>
  <c r="G2" i="4" l="1"/>
  <c r="N2" i="4" a="1"/>
  <c r="N28" i="4"/>
  <c r="P28" i="4"/>
  <c r="N2" i="4" l="1"/>
  <c r="V2" i="4" s="1"/>
  <c r="V5" i="4"/>
  <c r="V3" i="4"/>
  <c r="V4" i="4"/>
  <c r="U15" i="4"/>
  <c r="W15" i="4"/>
  <c r="X15" i="4"/>
  <c r="V15" i="4"/>
  <c r="P11" i="4" a="1"/>
  <c r="P11" i="4" s="1"/>
  <c r="P17" i="4" s="1"/>
  <c r="Q21" i="4" a="1"/>
  <c r="Q21" i="4" s="1"/>
  <c r="Q27" i="4" s="1"/>
  <c r="Q11" i="4" a="1"/>
  <c r="Q11" i="4" s="1"/>
  <c r="Q17" i="4" s="1"/>
  <c r="P21" i="4" a="1"/>
  <c r="P21" i="4" s="1"/>
  <c r="P27" i="4" s="1"/>
  <c r="N11" i="4" a="1"/>
  <c r="N21" i="4" a="1"/>
  <c r="O11" i="4" a="1"/>
  <c r="O11" i="4" s="1"/>
  <c r="O17" i="4" s="1"/>
  <c r="O21" i="4" a="1"/>
  <c r="O21" i="4" s="1"/>
  <c r="O27" i="4" s="1"/>
  <c r="U25" i="4"/>
  <c r="V25" i="4"/>
  <c r="W25" i="4"/>
  <c r="X25" i="4"/>
  <c r="N21" i="4" l="1"/>
  <c r="R24" i="4"/>
  <c r="AA17" i="4" s="1"/>
  <c r="R22" i="4"/>
  <c r="AA15" i="4" s="1"/>
  <c r="R25" i="4"/>
  <c r="AA18" i="4" s="1"/>
  <c r="R26" i="4"/>
  <c r="AA19" i="4" s="1"/>
  <c r="R23" i="4"/>
  <c r="AA16" i="4" s="1"/>
  <c r="N11" i="4"/>
  <c r="R12" i="4"/>
  <c r="Z15" i="4" s="1"/>
  <c r="R13" i="4"/>
  <c r="Z16" i="4" s="1"/>
  <c r="R16" i="4"/>
  <c r="Z19" i="4" s="1"/>
  <c r="R15" i="4"/>
  <c r="Z18" i="4" s="1"/>
  <c r="R14" i="4"/>
  <c r="Z17" i="4" s="1"/>
  <c r="V6" i="4"/>
  <c r="W4" i="4" s="1"/>
  <c r="Y2" i="2"/>
  <c r="AE2" i="2"/>
  <c r="W2" i="4" l="1"/>
  <c r="W3" i="4"/>
  <c r="R21" i="4"/>
  <c r="AA14" i="4" s="1"/>
  <c r="N27" i="4"/>
  <c r="W5" i="4"/>
  <c r="R11" i="4"/>
  <c r="Z14" i="4" s="1"/>
  <c r="N17" i="4"/>
  <c r="Y3" i="2"/>
  <c r="Y4" i="2"/>
  <c r="Y5" i="2"/>
  <c r="M6" i="2"/>
  <c r="Y6" i="2"/>
  <c r="Q7" i="2"/>
  <c r="T6" i="2"/>
  <c r="L9" i="2"/>
  <c r="G6" i="2"/>
  <c r="AA6" i="2"/>
  <c r="O8" i="2"/>
  <c r="X2" i="4" l="1"/>
  <c r="X3" i="4" s="1"/>
  <c r="X4" i="4" s="1"/>
  <c r="X5" i="4" s="1"/>
  <c r="W6" i="4"/>
  <c r="B10" i="2"/>
  <c r="C10" i="2"/>
  <c r="D10" i="2"/>
  <c r="E10" i="2"/>
  <c r="B11" i="2"/>
  <c r="C11" i="2"/>
  <c r="D11" i="2"/>
  <c r="E11" i="2"/>
  <c r="AA13" i="2"/>
  <c r="Y13" i="2"/>
  <c r="AC13" i="2"/>
  <c r="AA2" i="2" l="1" a="1"/>
  <c r="AA2" i="2" s="1"/>
  <c r="B14" i="2" a="1"/>
  <c r="B14" i="2"/>
  <c r="C14" i="2" a="1"/>
  <c r="C14" i="2" s="1"/>
  <c r="D14" i="2" a="1"/>
  <c r="D14" i="2" s="1"/>
  <c r="E14" i="2" a="1"/>
  <c r="E14" i="2"/>
  <c r="O15" i="2"/>
  <c r="G16" i="2"/>
  <c r="M16" i="2"/>
  <c r="G2" i="2" l="1" a="1"/>
  <c r="N17" i="2"/>
  <c r="G2" i="2" l="1"/>
  <c r="AC20" i="2"/>
  <c r="W20" i="2"/>
  <c r="B20" i="2"/>
  <c r="G9" i="2" a="1"/>
  <c r="G23" i="2"/>
  <c r="T20" i="2"/>
  <c r="Y20" i="2"/>
  <c r="V2" i="2" l="1"/>
  <c r="T2" i="2"/>
  <c r="W2" i="2"/>
  <c r="U2" i="2"/>
  <c r="N3" i="2"/>
  <c r="U4" i="2"/>
  <c r="W5" i="2"/>
  <c r="U3" i="2"/>
  <c r="W4" i="2"/>
  <c r="U5" i="2"/>
  <c r="T4" i="2"/>
  <c r="T3" i="2"/>
  <c r="V4" i="2"/>
  <c r="V3" i="2"/>
  <c r="W3" i="2"/>
  <c r="T5" i="2"/>
  <c r="O4" i="2"/>
  <c r="V5" i="2"/>
  <c r="P5" i="2"/>
  <c r="G9" i="2"/>
  <c r="M12" i="2"/>
  <c r="M13" i="2"/>
  <c r="M14" i="2"/>
  <c r="T16" i="2"/>
  <c r="U16" i="2"/>
  <c r="T19" i="2"/>
  <c r="U17" i="2"/>
  <c r="T18" i="2"/>
  <c r="U18" i="2"/>
  <c r="T17" i="2"/>
  <c r="U19" i="2"/>
  <c r="M2" i="2" l="1"/>
  <c r="K9" i="2"/>
  <c r="M11" i="2"/>
  <c r="AC2" i="2" a="1"/>
  <c r="N8" i="2" a="1"/>
  <c r="N8" i="2" l="1"/>
  <c r="AC2" i="2"/>
  <c r="Y12" i="2"/>
  <c r="Y10" i="2"/>
  <c r="Y11" i="2"/>
  <c r="W17" i="2"/>
  <c r="M15" i="2"/>
  <c r="N11" i="2" s="1"/>
  <c r="O11" i="2" s="1"/>
  <c r="Q6" i="2"/>
  <c r="G19" i="2" a="1"/>
  <c r="G19" i="2" s="1"/>
  <c r="Y9" i="2" l="1"/>
  <c r="AA9" i="2" s="1" a="1"/>
  <c r="AA9" i="2" s="1"/>
  <c r="AC9" i="2" s="1" a="1"/>
  <c r="AC9" i="2" s="1"/>
  <c r="W16" i="2"/>
  <c r="Y16" i="2" s="1" a="1"/>
  <c r="Y16" i="2" s="1"/>
  <c r="AB16" i="2" s="1" a="1"/>
  <c r="AB16" i="2" s="1"/>
  <c r="N14" i="2"/>
  <c r="N13" i="2"/>
  <c r="N12" i="2"/>
  <c r="O12" i="2" s="1"/>
  <c r="O13" i="2" l="1"/>
  <c r="O14" i="2" s="1"/>
  <c r="H40" i="7" l="1" a="1"/>
  <c r="T33" i="28" a="1"/>
  <c r="T31" i="25" a="1"/>
  <c r="H119" i="7" a="1"/>
  <c r="H112" i="7" a="1"/>
  <c r="H31" i="7" a="1"/>
  <c r="T33" i="28" l="1"/>
  <c r="I120" i="7"/>
  <c r="H119" i="7"/>
  <c r="I119" i="7"/>
  <c r="H120" i="7"/>
  <c r="I112" i="7"/>
  <c r="H115" i="7"/>
  <c r="H113" i="7"/>
  <c r="I113" i="7"/>
  <c r="I115" i="7"/>
  <c r="H114" i="7"/>
  <c r="I114" i="7"/>
  <c r="H112" i="7"/>
  <c r="T31" i="25"/>
  <c r="J34" i="7"/>
  <c r="J33" i="7"/>
  <c r="J32" i="7"/>
  <c r="J31" i="7"/>
  <c r="H34" i="7"/>
  <c r="H33" i="7"/>
  <c r="K33" i="7"/>
  <c r="K32" i="7"/>
  <c r="K31" i="7"/>
  <c r="K34" i="7"/>
  <c r="I34" i="7"/>
  <c r="I33" i="7"/>
  <c r="I32" i="7"/>
  <c r="H32" i="7"/>
  <c r="H31" i="7"/>
  <c r="I31" i="7"/>
  <c r="H123" i="7" a="1"/>
  <c r="H35" i="7" l="1"/>
  <c r="I35" i="7"/>
  <c r="I40" i="7" s="1"/>
  <c r="H123" i="7"/>
  <c r="H126" i="7"/>
  <c r="H125" i="7"/>
  <c r="I126" i="7"/>
  <c r="H124" i="7"/>
  <c r="I124" i="7"/>
  <c r="I123" i="7"/>
  <c r="I125" i="7"/>
  <c r="L25" i="25" a="1"/>
  <c r="L25" i="25" s="1"/>
  <c r="F23" i="25" a="1"/>
  <c r="F23" i="25" s="1"/>
  <c r="M18" i="25" a="1"/>
  <c r="M18" i="25" s="1"/>
  <c r="Q26" i="25" a="1"/>
  <c r="Q26" i="25" s="1"/>
  <c r="K25" i="25" a="1"/>
  <c r="K25" i="25" s="1"/>
  <c r="J24" i="25" a="1"/>
  <c r="J24" i="25" s="1"/>
  <c r="I23" i="25" a="1"/>
  <c r="I23" i="25" s="1"/>
  <c r="O17" i="25" a="1"/>
  <c r="O17" i="25" s="1"/>
  <c r="P22" i="25" a="1"/>
  <c r="P22" i="25" s="1"/>
  <c r="K21" i="25" a="1"/>
  <c r="K21" i="25" s="1"/>
  <c r="J20" i="25" a="1"/>
  <c r="J20" i="25" s="1"/>
  <c r="I19" i="25" a="1"/>
  <c r="I19" i="25" s="1"/>
  <c r="P25" i="25" a="1"/>
  <c r="P25" i="25" s="1"/>
  <c r="J23" i="25" a="1"/>
  <c r="J23" i="25" s="1"/>
  <c r="K20" i="25" a="1"/>
  <c r="K20" i="25" s="1"/>
  <c r="J27" i="25" a="1"/>
  <c r="J27" i="25" s="1"/>
  <c r="H26" i="25" a="1"/>
  <c r="H26" i="25" s="1"/>
  <c r="F25" i="25" a="1"/>
  <c r="F25" i="25" s="1"/>
  <c r="P19" i="25" a="1"/>
  <c r="P19" i="25" s="1"/>
  <c r="K18" i="25" a="1"/>
  <c r="K18" i="25" s="1"/>
  <c r="J17" i="25" a="1"/>
  <c r="J17" i="25" s="1"/>
  <c r="R19" i="25" a="1"/>
  <c r="R19" i="25" s="1"/>
  <c r="I18" i="25" a="1"/>
  <c r="I18" i="25" s="1"/>
  <c r="L23" i="25" a="1"/>
  <c r="L23" i="25" s="1"/>
  <c r="G22" i="25" a="1"/>
  <c r="G22" i="25" s="1"/>
  <c r="F21" i="25" a="1"/>
  <c r="F21" i="25" s="1"/>
  <c r="P24" i="25" a="1"/>
  <c r="P24" i="25" s="1"/>
  <c r="K23" i="25" a="1"/>
  <c r="K23" i="25" s="1"/>
  <c r="J22" i="25" a="1"/>
  <c r="J22" i="25" s="1"/>
  <c r="I21" i="25" a="1"/>
  <c r="I21" i="25" s="1"/>
  <c r="M27" i="25" a="1"/>
  <c r="M27" i="25" s="1"/>
  <c r="G26" i="25" a="1"/>
  <c r="G26" i="25" s="1"/>
  <c r="P20" i="25" a="1"/>
  <c r="P20" i="25" s="1"/>
  <c r="K19" i="25" a="1"/>
  <c r="K19" i="25" s="1"/>
  <c r="J18" i="25" a="1"/>
  <c r="J18" i="25" s="1"/>
  <c r="I17" i="25" a="1"/>
  <c r="I17" i="25" s="1"/>
  <c r="P16" i="25" a="1"/>
  <c r="P16" i="25" s="1"/>
  <c r="K16" i="25" a="1"/>
  <c r="K16" i="25" s="1"/>
  <c r="J16" i="25" a="1"/>
  <c r="J16" i="25" s="1"/>
  <c r="O24" i="25" a="1"/>
  <c r="O24" i="25" s="1"/>
  <c r="I22" i="25" a="1"/>
  <c r="I22" i="25" s="1"/>
  <c r="O27" i="25" a="1"/>
  <c r="O27" i="25" s="1"/>
  <c r="M26" i="25" a="1"/>
  <c r="M26" i="25" s="1"/>
  <c r="G25" i="25" a="1"/>
  <c r="G25" i="25" s="1"/>
  <c r="F24" i="25" a="1"/>
  <c r="F24" i="25" s="1"/>
  <c r="P18" i="25" a="1"/>
  <c r="P18" i="25" s="1"/>
  <c r="K17" i="25" a="1"/>
  <c r="K17" i="25" s="1"/>
  <c r="L22" i="25" a="1"/>
  <c r="L22" i="25" s="1"/>
  <c r="G21" i="25" a="1"/>
  <c r="G21" i="25" s="1"/>
  <c r="F20" i="25" a="1"/>
  <c r="F20" i="25" s="1"/>
  <c r="P27" i="25" a="1"/>
  <c r="P27" i="25" s="1"/>
  <c r="H25" i="25" a="1"/>
  <c r="H25" i="25" s="1"/>
  <c r="Q22" i="25" a="1"/>
  <c r="Q22" i="25" s="1"/>
  <c r="J19" i="25" a="1"/>
  <c r="J19" i="25" s="1"/>
  <c r="F27" i="25" a="1"/>
  <c r="F27" i="25" s="1"/>
  <c r="R25" i="25" a="1"/>
  <c r="R25" i="25" s="1"/>
  <c r="Q24" i="25" a="1"/>
  <c r="Q24" i="25" s="1"/>
  <c r="L19" i="25" a="1"/>
  <c r="L19" i="25" s="1"/>
  <c r="G18" i="25" a="1"/>
  <c r="G18" i="25" s="1"/>
  <c r="F17" i="25" a="1"/>
  <c r="F17" i="25" s="1"/>
  <c r="N19" i="25" a="1"/>
  <c r="N19" i="25" s="1"/>
  <c r="P17" i="25" a="1"/>
  <c r="P17" i="25" s="1"/>
  <c r="H23" i="25" a="1"/>
  <c r="H23" i="25" s="1"/>
  <c r="R21" i="25" a="1"/>
  <c r="R21" i="25" s="1"/>
  <c r="Q20" i="25" a="1"/>
  <c r="Q20" i="25" s="1"/>
  <c r="L24" i="25" a="1"/>
  <c r="L24" i="25" s="1"/>
  <c r="G23" i="25" a="1"/>
  <c r="G23" i="25" s="1"/>
  <c r="F22" i="25" a="1"/>
  <c r="F22" i="25" s="1"/>
  <c r="H27" i="25" a="1"/>
  <c r="H27" i="25" s="1"/>
  <c r="I27" i="25" a="1"/>
  <c r="I27" i="25" s="1"/>
  <c r="Q25" i="25" a="1"/>
  <c r="Q25" i="25" s="1"/>
  <c r="L20" i="25" a="1"/>
  <c r="L20" i="25" s="1"/>
  <c r="G19" i="25" a="1"/>
  <c r="G19" i="25" s="1"/>
  <c r="F18" i="25" a="1"/>
  <c r="F18" i="25" s="1"/>
  <c r="Q16" i="25" a="1"/>
  <c r="Q16" i="25" s="1"/>
  <c r="L16" i="25" a="1"/>
  <c r="L16" i="25" s="1"/>
  <c r="G16" i="25" a="1"/>
  <c r="G16" i="25" s="1"/>
  <c r="F16" i="25" a="1"/>
  <c r="F16" i="25" s="1"/>
  <c r="L27" i="25" a="1"/>
  <c r="L27" i="25" s="1"/>
  <c r="G24" i="25" a="1"/>
  <c r="G24" i="25" s="1"/>
  <c r="H21" i="25" a="1"/>
  <c r="H21" i="25" s="1"/>
  <c r="K27" i="25" a="1"/>
  <c r="K27" i="25" s="1"/>
  <c r="I26" i="25" a="1"/>
  <c r="I26" i="25" s="1"/>
  <c r="R24" i="25" a="1"/>
  <c r="R24" i="25" s="1"/>
  <c r="Q23" i="25" a="1"/>
  <c r="Q23" i="25" s="1"/>
  <c r="L18" i="25" a="1"/>
  <c r="L18" i="25" s="1"/>
  <c r="G17" i="25" a="1"/>
  <c r="G17" i="25" s="1"/>
  <c r="H22" i="25" a="1"/>
  <c r="H22" i="25" s="1"/>
  <c r="R20" i="25" a="1"/>
  <c r="R20" i="25" s="1"/>
  <c r="Q19" i="25" a="1"/>
  <c r="Q19" i="25" s="1"/>
  <c r="R26" i="25" a="1"/>
  <c r="R26" i="25" s="1"/>
  <c r="K24" i="25" a="1"/>
  <c r="K24" i="25" s="1"/>
  <c r="M22" i="25" a="1"/>
  <c r="M22" i="25" s="1"/>
  <c r="R27" i="25" a="1"/>
  <c r="R27" i="25" s="1"/>
  <c r="P26" i="25" a="1"/>
  <c r="P26" i="25" s="1"/>
  <c r="N25" i="25" a="1"/>
  <c r="N25" i="25" s="1"/>
  <c r="M24" i="25" a="1"/>
  <c r="M24" i="25" s="1"/>
  <c r="H19" i="25" a="1"/>
  <c r="H19" i="25" s="1"/>
  <c r="R17" i="25" a="1"/>
  <c r="R17" i="25" s="1"/>
  <c r="L21" i="25" a="1"/>
  <c r="L21" i="25" s="1"/>
  <c r="F19" i="25" a="1"/>
  <c r="F19" i="25" s="1"/>
  <c r="L17" i="25" a="1"/>
  <c r="L17" i="25" s="1"/>
  <c r="O22" i="25" a="1"/>
  <c r="O22" i="25" s="1"/>
  <c r="N21" i="25" a="1"/>
  <c r="N21" i="25" s="1"/>
  <c r="M20" i="25" a="1"/>
  <c r="M20" i="25" s="1"/>
  <c r="H24" i="25" a="1"/>
  <c r="H24" i="25" s="1"/>
  <c r="R22" i="25" a="1"/>
  <c r="R22" i="25" s="1"/>
  <c r="Q21" i="25" a="1"/>
  <c r="Q21" i="25" s="1"/>
  <c r="N26" i="25" a="1"/>
  <c r="N26" i="25" s="1"/>
  <c r="O26" i="25" a="1"/>
  <c r="O26" i="25" s="1"/>
  <c r="M25" i="25" a="1"/>
  <c r="M25" i="25" s="1"/>
  <c r="H20" i="25" a="1"/>
  <c r="H20" i="25" s="1"/>
  <c r="R18" i="25" a="1"/>
  <c r="R18" i="25" s="1"/>
  <c r="Q17" i="25" a="1"/>
  <c r="Q17" i="25" s="1"/>
  <c r="I16" i="25" a="1"/>
  <c r="I16" i="25" s="1"/>
  <c r="H16" i="25" a="1"/>
  <c r="H16" i="25" s="1"/>
  <c r="R16" i="25" a="1"/>
  <c r="R16" i="25" s="1"/>
  <c r="N23" i="25" a="1"/>
  <c r="N23" i="25" s="1"/>
  <c r="O21" i="25" a="1"/>
  <c r="O21" i="25" s="1"/>
  <c r="J25" i="25" a="1"/>
  <c r="J25" i="25" s="1"/>
  <c r="J21" i="25" a="1"/>
  <c r="J21" i="25" s="1"/>
  <c r="O19" i="25" a="1"/>
  <c r="O19" i="25" s="1"/>
  <c r="G20" i="25" a="1"/>
  <c r="G20" i="25" s="1"/>
  <c r="N20" i="25" a="1"/>
  <c r="N20" i="25" s="1"/>
  <c r="I24" i="25" a="1"/>
  <c r="I24" i="25" s="1"/>
  <c r="I20" i="25" a="1"/>
  <c r="I20" i="25" s="1"/>
  <c r="N18" i="25" a="1"/>
  <c r="N18" i="25" s="1"/>
  <c r="G27" i="25" a="1"/>
  <c r="G27" i="25" s="1"/>
  <c r="M19" i="25" a="1"/>
  <c r="M19" i="25" s="1"/>
  <c r="O18" i="25" a="1"/>
  <c r="O18" i="25" s="1"/>
  <c r="O23" i="25" a="1"/>
  <c r="O23" i="25" s="1"/>
  <c r="M17" i="25" a="1"/>
  <c r="M17" i="25" s="1"/>
  <c r="O25" i="25" a="1"/>
  <c r="O25" i="25" s="1"/>
  <c r="F26" i="25" a="1"/>
  <c r="F26" i="25" s="1"/>
  <c r="N17" i="25" a="1"/>
  <c r="N17" i="25" s="1"/>
  <c r="N22" i="25" a="1"/>
  <c r="N22" i="25" s="1"/>
  <c r="M16" i="25" a="1"/>
  <c r="M16" i="25" s="1"/>
  <c r="N24" i="25" a="1"/>
  <c r="N24" i="25" s="1"/>
  <c r="R23" i="25" a="1"/>
  <c r="R23" i="25" s="1"/>
  <c r="O20" i="25" a="1"/>
  <c r="O20" i="25" s="1"/>
  <c r="M21" i="25" a="1"/>
  <c r="M21" i="25" s="1"/>
  <c r="O16" i="25" a="1"/>
  <c r="O16" i="25" s="1"/>
  <c r="H18" i="25" a="1"/>
  <c r="H18" i="25" s="1"/>
  <c r="N27" i="25" a="1"/>
  <c r="N27" i="25" s="1"/>
  <c r="P23" i="25" a="1"/>
  <c r="P23" i="25" s="1"/>
  <c r="K26" i="25" a="1"/>
  <c r="K26" i="25" s="1"/>
  <c r="J26" i="25" a="1"/>
  <c r="J26" i="25" s="1"/>
  <c r="H17" i="25" a="1"/>
  <c r="H17" i="25" s="1"/>
  <c r="L26" i="25" a="1"/>
  <c r="L26" i="25" s="1"/>
  <c r="K22" i="25" a="1"/>
  <c r="K22" i="25" s="1"/>
  <c r="I25" i="25" a="1"/>
  <c r="I25" i="25" s="1"/>
  <c r="M23" i="25" a="1"/>
  <c r="M23" i="25" s="1"/>
  <c r="P21" i="25" a="1"/>
  <c r="P21" i="25" s="1"/>
  <c r="Q18" i="25" a="1"/>
  <c r="Q18" i="25" s="1"/>
  <c r="Q27" i="25" a="1"/>
  <c r="Q27" i="25" s="1"/>
  <c r="N16" i="25" a="1"/>
  <c r="N16" i="25" s="1"/>
  <c r="K35" i="7"/>
  <c r="K40" i="7" s="1"/>
  <c r="H40" i="7"/>
  <c r="J35" i="7"/>
  <c r="J40" i="7" s="1"/>
  <c r="M27" i="28" a="1"/>
  <c r="M27" i="28" s="1"/>
  <c r="G20" i="28" a="1"/>
  <c r="G20" i="28" s="1"/>
  <c r="Q25" i="28" a="1"/>
  <c r="Q25" i="28" s="1"/>
  <c r="L23" i="28" a="1"/>
  <c r="L23" i="28" s="1"/>
  <c r="G21" i="28" a="1"/>
  <c r="G21" i="28" s="1"/>
  <c r="F19" i="28" a="1"/>
  <c r="F19" i="28" s="1"/>
  <c r="P27" i="28" a="1"/>
  <c r="P27" i="28" s="1"/>
  <c r="L24" i="28" a="1"/>
  <c r="L24" i="28" s="1"/>
  <c r="G22" i="28" a="1"/>
  <c r="G22" i="28" s="1"/>
  <c r="F20" i="28" a="1"/>
  <c r="F20" i="28" s="1"/>
  <c r="H22" i="28" a="1"/>
  <c r="H22" i="28" s="1"/>
  <c r="N26" i="28" a="1"/>
  <c r="N26" i="28" s="1"/>
  <c r="O23" i="28" a="1"/>
  <c r="O23" i="28" s="1"/>
  <c r="N21" i="28" a="1"/>
  <c r="N21" i="28" s="1"/>
  <c r="M19" i="28" a="1"/>
  <c r="M19" i="28" s="1"/>
  <c r="I24" i="28" a="1"/>
  <c r="I24" i="28" s="1"/>
  <c r="K27" i="28" a="1"/>
  <c r="K27" i="28" s="1"/>
  <c r="I26" i="28" a="1"/>
  <c r="I26" i="28" s="1"/>
  <c r="R22" i="28" a="1"/>
  <c r="R22" i="28" s="1"/>
  <c r="Q20" i="28" a="1"/>
  <c r="Q20" i="28" s="1"/>
  <c r="L18" i="28" a="1"/>
  <c r="L18" i="28" s="1"/>
  <c r="N28" i="28" a="1"/>
  <c r="N28" i="28" s="1"/>
  <c r="O25" i="28" a="1"/>
  <c r="O25" i="28" s="1"/>
  <c r="N23" i="28" a="1"/>
  <c r="N23" i="28" s="1"/>
  <c r="M21" i="28" a="1"/>
  <c r="M21" i="28" s="1"/>
  <c r="H19" i="28" a="1"/>
  <c r="H19" i="28" s="1"/>
  <c r="H28" i="28" a="1"/>
  <c r="H28" i="28" s="1"/>
  <c r="F27" i="28" a="1"/>
  <c r="F27" i="28" s="1"/>
  <c r="R24" i="28" a="1"/>
  <c r="R24" i="28" s="1"/>
  <c r="Q22" i="28" a="1"/>
  <c r="Q22" i="28" s="1"/>
  <c r="L20" i="28" a="1"/>
  <c r="L20" i="28" s="1"/>
  <c r="G18" i="28" a="1"/>
  <c r="G18" i="28" s="1"/>
  <c r="J26" i="28" a="1"/>
  <c r="J26" i="28" s="1"/>
  <c r="F25" i="28" a="1"/>
  <c r="F25" i="28" s="1"/>
  <c r="P21" i="28" a="1"/>
  <c r="P21" i="28" s="1"/>
  <c r="K19" i="28" a="1"/>
  <c r="K19" i="28" s="1"/>
  <c r="R17" i="28" a="1"/>
  <c r="R17" i="28" s="1"/>
  <c r="H17" i="28" a="1"/>
  <c r="H17" i="28" s="1"/>
  <c r="O17" i="28" a="1"/>
  <c r="O17" i="28" s="1"/>
  <c r="O28" i="28" a="1"/>
  <c r="O28" i="28" s="1"/>
  <c r="O26" i="28" a="1"/>
  <c r="O26" i="28" s="1"/>
  <c r="N18" i="28" a="1"/>
  <c r="N18" i="28" s="1"/>
  <c r="P23" i="28" a="1"/>
  <c r="P23" i="28" s="1"/>
  <c r="R19" i="28" a="1"/>
  <c r="R19" i="28" s="1"/>
  <c r="K20" i="28" a="1"/>
  <c r="K20" i="28" s="1"/>
  <c r="P24" i="28" a="1"/>
  <c r="P24" i="28" s="1"/>
  <c r="R20" i="28" a="1"/>
  <c r="R20" i="28" s="1"/>
  <c r="M18" i="28" a="1"/>
  <c r="M18" i="28" s="1"/>
  <c r="L27" i="28" a="1"/>
  <c r="L27" i="28" s="1"/>
  <c r="K23" i="28" a="1"/>
  <c r="K23" i="28" s="1"/>
  <c r="F21" i="28" a="1"/>
  <c r="F21" i="28" s="1"/>
  <c r="G26" i="28" a="1"/>
  <c r="G26" i="28" s="1"/>
  <c r="G27" i="28" a="1"/>
  <c r="G27" i="28" s="1"/>
  <c r="K24" i="28" a="1"/>
  <c r="K24" i="28" s="1"/>
  <c r="F22" i="28" a="1"/>
  <c r="F22" i="28" s="1"/>
  <c r="H18" i="28" a="1"/>
  <c r="H18" i="28" s="1"/>
  <c r="M28" i="28" a="1"/>
  <c r="M28" i="28" s="1"/>
  <c r="R23" i="28" a="1"/>
  <c r="R23" i="28" s="1"/>
  <c r="I21" i="28" a="1"/>
  <c r="I21" i="28" s="1"/>
  <c r="P28" i="28" a="1"/>
  <c r="P28" i="28" s="1"/>
  <c r="J27" i="28" a="1"/>
  <c r="J27" i="28" s="1"/>
  <c r="N24" i="28" a="1"/>
  <c r="N24" i="28" s="1"/>
  <c r="I22" i="28" a="1"/>
  <c r="I22" i="28" s="1"/>
  <c r="K18" i="28" a="1"/>
  <c r="K18" i="28" s="1"/>
  <c r="R25" i="28" a="1"/>
  <c r="R25" i="28" s="1"/>
  <c r="M23" i="28" a="1"/>
  <c r="M23" i="28" s="1"/>
  <c r="O19" i="28" a="1"/>
  <c r="O19" i="28" s="1"/>
  <c r="N17" i="28" a="1"/>
  <c r="N17" i="28" s="1"/>
  <c r="L17" i="28" a="1"/>
  <c r="L17" i="28" s="1"/>
  <c r="M24" i="28" a="1"/>
  <c r="M24" i="28" s="1"/>
  <c r="J18" i="28" a="1"/>
  <c r="J18" i="28" s="1"/>
  <c r="H23" i="28" a="1"/>
  <c r="H23" i="28" s="1"/>
  <c r="N19" i="28" a="1"/>
  <c r="N19" i="28" s="1"/>
  <c r="F18" i="28" a="1"/>
  <c r="F18" i="28" s="1"/>
  <c r="H24" i="28" a="1"/>
  <c r="H24" i="28" s="1"/>
  <c r="N20" i="28" a="1"/>
  <c r="N20" i="28" s="1"/>
  <c r="I18" i="28" a="1"/>
  <c r="I18" i="28" s="1"/>
  <c r="P25" i="28" a="1"/>
  <c r="P25" i="28" s="1"/>
  <c r="G23" i="28" a="1"/>
  <c r="G23" i="28" s="1"/>
  <c r="Q19" i="28" a="1"/>
  <c r="Q19" i="28" s="1"/>
  <c r="F28" i="28" a="1"/>
  <c r="F28" i="28" s="1"/>
  <c r="Q26" i="28" a="1"/>
  <c r="Q26" i="28" s="1"/>
  <c r="G24" i="28" a="1"/>
  <c r="G24" i="28" s="1"/>
  <c r="M20" i="28" a="1"/>
  <c r="M20" i="28" s="1"/>
  <c r="I27" i="28" a="1"/>
  <c r="I27" i="28" s="1"/>
  <c r="O27" i="28" a="1"/>
  <c r="O27" i="28" s="1"/>
  <c r="J23" i="28" a="1"/>
  <c r="J23" i="28" s="1"/>
  <c r="P19" i="28" a="1"/>
  <c r="P19" i="28" s="1"/>
  <c r="L28" i="28" a="1"/>
  <c r="L28" i="28" s="1"/>
  <c r="P26" i="28" a="1"/>
  <c r="P26" i="28" s="1"/>
  <c r="J24" i="28" a="1"/>
  <c r="J24" i="28" s="1"/>
  <c r="P20" i="28" a="1"/>
  <c r="P20" i="28" s="1"/>
  <c r="G28" i="28" a="1"/>
  <c r="G28" i="28" s="1"/>
  <c r="N25" i="28" a="1"/>
  <c r="N25" i="28" s="1"/>
  <c r="I23" i="28" a="1"/>
  <c r="I23" i="28" s="1"/>
  <c r="G19" i="28" a="1"/>
  <c r="G19" i="28" s="1"/>
  <c r="J17" i="28" a="1"/>
  <c r="J17" i="28" s="1"/>
  <c r="M17" i="28" a="1"/>
  <c r="M17" i="28" s="1"/>
  <c r="K21" i="28" a="1"/>
  <c r="K21" i="28" s="1"/>
  <c r="O22" i="28" a="1"/>
  <c r="O22" i="28" s="1"/>
  <c r="K28" i="28" a="1"/>
  <c r="K28" i="28" s="1"/>
  <c r="N22" i="28" a="1"/>
  <c r="N22" i="28" s="1"/>
  <c r="Q27" i="28" a="1"/>
  <c r="Q27" i="28" s="1"/>
  <c r="F24" i="28" a="1"/>
  <c r="F24" i="28" s="1"/>
  <c r="G17" i="28" a="1"/>
  <c r="G17" i="28" s="1"/>
  <c r="P17" i="28" a="1"/>
  <c r="P17" i="28" s="1"/>
  <c r="L22" i="28" a="1"/>
  <c r="L22" i="28" s="1"/>
  <c r="K22" i="28" a="1"/>
  <c r="K22" i="28" s="1"/>
  <c r="L25" i="28" a="1"/>
  <c r="L25" i="28" s="1"/>
  <c r="J22" i="28" a="1"/>
  <c r="J22" i="28" s="1"/>
  <c r="K25" i="28" a="1"/>
  <c r="K25" i="28" s="1"/>
  <c r="M22" i="28" a="1"/>
  <c r="M22" i="28" s="1"/>
  <c r="J25" i="28" a="1"/>
  <c r="J25" i="28" s="1"/>
  <c r="R18" i="28" a="1"/>
  <c r="R18" i="28" s="1"/>
  <c r="J19" i="28" a="1"/>
  <c r="J19" i="28" s="1"/>
  <c r="H25" i="28" a="1"/>
  <c r="H25" i="28" s="1"/>
  <c r="Q28" i="28" a="1"/>
  <c r="Q28" i="28" s="1"/>
  <c r="G25" i="28" a="1"/>
  <c r="G25" i="28" s="1"/>
  <c r="R27" i="28" a="1"/>
  <c r="R27" i="28" s="1"/>
  <c r="Q23" i="28" a="1"/>
  <c r="Q23" i="28" s="1"/>
  <c r="K17" i="28" a="1"/>
  <c r="K17" i="28" s="1"/>
  <c r="Q17" i="28" a="1"/>
  <c r="Q17" i="28" s="1"/>
  <c r="P22" i="28" a="1"/>
  <c r="P22" i="28" s="1"/>
  <c r="J20" i="28" a="1"/>
  <c r="J20" i="28" s="1"/>
  <c r="I28" i="28" a="1"/>
  <c r="I28" i="28" s="1"/>
  <c r="I20" i="28" a="1"/>
  <c r="I20" i="28" s="1"/>
  <c r="N27" i="28" a="1"/>
  <c r="N27" i="28" s="1"/>
  <c r="H20" i="28" a="1"/>
  <c r="H20" i="28" s="1"/>
  <c r="M25" i="28" a="1"/>
  <c r="M25" i="28" s="1"/>
  <c r="Q18" i="28" a="1"/>
  <c r="Q18" i="28" s="1"/>
  <c r="R21" i="28" a="1"/>
  <c r="R21" i="28" s="1"/>
  <c r="P18" i="28" a="1"/>
  <c r="P18" i="28" s="1"/>
  <c r="F23" i="28" a="1"/>
  <c r="F23" i="28" s="1"/>
  <c r="O18" i="28" a="1"/>
  <c r="O18" i="28" s="1"/>
  <c r="L21" i="28" a="1"/>
  <c r="L21" i="28" s="1"/>
  <c r="F17" i="28" a="1"/>
  <c r="F17" i="28" s="1"/>
  <c r="I25" i="28" a="1"/>
  <c r="I25" i="28" s="1"/>
  <c r="R26" i="28" a="1"/>
  <c r="R26" i="28" s="1"/>
  <c r="J21" i="28" a="1"/>
  <c r="J21" i="28" s="1"/>
  <c r="M26" i="28" a="1"/>
  <c r="M26" i="28" s="1"/>
  <c r="Q21" i="28" a="1"/>
  <c r="Q21" i="28" s="1"/>
  <c r="L26" i="28" a="1"/>
  <c r="L26" i="28" s="1"/>
  <c r="O21" i="28" a="1"/>
  <c r="O21" i="28" s="1"/>
  <c r="R28" i="28" a="1"/>
  <c r="R28" i="28" s="1"/>
  <c r="I19" i="28" a="1"/>
  <c r="I19" i="28" s="1"/>
  <c r="H27" i="28" a="1"/>
  <c r="H27" i="28" s="1"/>
  <c r="L19" i="28" a="1"/>
  <c r="L19" i="28" s="1"/>
  <c r="J28" i="28" a="1"/>
  <c r="J28" i="28" s="1"/>
  <c r="F26" i="28" a="1"/>
  <c r="F26" i="28" s="1"/>
  <c r="O20" i="28" a="1"/>
  <c r="O20" i="28" s="1"/>
  <c r="O24" i="28" a="1"/>
  <c r="O24" i="28" s="1"/>
  <c r="Q24" i="28" a="1"/>
  <c r="Q24" i="28" s="1"/>
  <c r="H26" i="28" a="1"/>
  <c r="H26" i="28" s="1"/>
  <c r="K26" i="28" a="1"/>
  <c r="K26" i="28" s="1"/>
  <c r="H21" i="28" a="1"/>
  <c r="H21" i="28" s="1"/>
  <c r="I17" i="28" a="1"/>
  <c r="I17" i="28" s="1"/>
  <c r="L35" i="7" l="1"/>
  <c r="L40" i="7" s="1"/>
  <c r="D19" i="28" a="1"/>
  <c r="D19" i="28" s="1"/>
  <c r="D25" i="28" a="1"/>
  <c r="D25" i="28" s="1"/>
  <c r="D18" i="28" a="1"/>
  <c r="D18" i="28" s="1"/>
  <c r="D4" i="28" a="1"/>
  <c r="D4" i="28" s="1"/>
  <c r="D13" i="28" a="1"/>
  <c r="D13" i="28" s="1"/>
  <c r="D14" i="28" a="1"/>
  <c r="D14" i="28" s="1"/>
  <c r="D12" i="28" a="1"/>
  <c r="D12" i="28" s="1"/>
  <c r="D2" i="28" a="1"/>
  <c r="D2" i="28" s="1"/>
  <c r="D23" i="28" a="1"/>
  <c r="D23" i="28" s="1"/>
  <c r="D11" i="28" a="1"/>
  <c r="D11" i="28" s="1"/>
  <c r="D6" i="28" a="1"/>
  <c r="D6" i="28" s="1"/>
  <c r="D21" i="28" a="1"/>
  <c r="D21" i="28" s="1"/>
  <c r="D3" i="28" a="1"/>
  <c r="D3" i="28" s="1"/>
  <c r="D8" i="28" a="1"/>
  <c r="D8" i="28" s="1"/>
  <c r="D24" i="28" a="1"/>
  <c r="D24" i="28" s="1"/>
  <c r="D22" i="28" a="1"/>
  <c r="D22" i="28" s="1"/>
  <c r="D17" i="28" a="1"/>
  <c r="D17" i="28" s="1"/>
  <c r="D15" i="28" a="1"/>
  <c r="D15" i="28" s="1"/>
  <c r="D20" i="28" a="1"/>
  <c r="D20" i="28" s="1"/>
  <c r="D16" i="28" a="1"/>
  <c r="D16" i="28" s="1"/>
  <c r="D10" i="28" a="1"/>
  <c r="D10" i="28" s="1"/>
  <c r="D9" i="28" a="1"/>
  <c r="D9" i="28" s="1"/>
  <c r="D5" i="28" a="1"/>
  <c r="D5" i="28" s="1"/>
  <c r="D7" i="28" a="1"/>
  <c r="D7" i="28" s="1"/>
  <c r="D23" i="25" a="1"/>
  <c r="D23" i="25" s="1"/>
  <c r="D24" i="25" a="1"/>
  <c r="D24" i="25" s="1"/>
  <c r="D17" i="25" a="1"/>
  <c r="D17" i="25" s="1"/>
  <c r="D15" i="25" a="1"/>
  <c r="D15" i="25" s="1"/>
  <c r="D18" i="25" a="1"/>
  <c r="D18" i="25" s="1"/>
  <c r="D22" i="25" a="1"/>
  <c r="D22" i="25" s="1"/>
  <c r="D19" i="25" a="1"/>
  <c r="D19" i="25" s="1"/>
  <c r="D25" i="25" a="1"/>
  <c r="D25" i="25" s="1"/>
  <c r="D12" i="25" a="1"/>
  <c r="D12" i="25" s="1"/>
  <c r="D20" i="25" a="1"/>
  <c r="D20" i="25" s="1"/>
  <c r="D5" i="25" a="1"/>
  <c r="D5" i="25" s="1"/>
  <c r="D3" i="25" a="1"/>
  <c r="D3" i="25" s="1"/>
  <c r="D8" i="25" a="1"/>
  <c r="D8" i="25" s="1"/>
  <c r="D13" i="25" a="1"/>
  <c r="D13" i="25" s="1"/>
  <c r="D6" i="25" a="1"/>
  <c r="D6" i="25" s="1"/>
  <c r="D10" i="25" a="1"/>
  <c r="D10" i="25" s="1"/>
  <c r="D7" i="25" a="1"/>
  <c r="D7" i="25" s="1"/>
  <c r="D4" i="25" a="1"/>
  <c r="D4" i="25" s="1"/>
  <c r="D14" i="25" a="1"/>
  <c r="D14" i="25" s="1"/>
  <c r="D11" i="25" a="1"/>
  <c r="D11" i="25" s="1"/>
  <c r="D16" i="25" a="1"/>
  <c r="D16" i="25" s="1"/>
  <c r="D21" i="25" a="1"/>
  <c r="D21" i="25" s="1"/>
  <c r="D2" i="25" a="1"/>
  <c r="D2" i="25" s="1"/>
  <c r="D9" i="25" a="1"/>
  <c r="D9" i="25" s="1"/>
  <c r="N34" i="25" l="1" a="1"/>
  <c r="N34" i="25" s="1"/>
  <c r="I39" i="25" a="1"/>
  <c r="I39" i="25" s="1"/>
  <c r="B12" i="25"/>
  <c r="J38" i="25" a="1"/>
  <c r="J38" i="25" s="1"/>
  <c r="K37" i="25" a="1"/>
  <c r="K37" i="25" s="1"/>
  <c r="O33" i="25" a="1"/>
  <c r="O33" i="25" s="1"/>
  <c r="M35" i="25" a="1"/>
  <c r="M35" i="25" s="1"/>
  <c r="H40" i="25" a="1"/>
  <c r="H40" i="25" s="1"/>
  <c r="P32" i="25" a="1"/>
  <c r="P32" i="25" s="1"/>
  <c r="G41" i="25" a="1"/>
  <c r="G41" i="25" s="1"/>
  <c r="L36" i="25" a="1"/>
  <c r="L36" i="25" s="1"/>
  <c r="Q31" i="25" a="1"/>
  <c r="Q31" i="25" s="1"/>
  <c r="G38" i="25" a="1"/>
  <c r="G38" i="25" s="1"/>
  <c r="H37" i="25" a="1"/>
  <c r="H37" i="25" s="1"/>
  <c r="K34" i="25" a="1"/>
  <c r="K34" i="25" s="1"/>
  <c r="L33" i="25" a="1"/>
  <c r="L33" i="25" s="1"/>
  <c r="M32" i="25" a="1"/>
  <c r="M32" i="25" s="1"/>
  <c r="N31" i="25" a="1"/>
  <c r="N31" i="25" s="1"/>
  <c r="J35" i="25" a="1"/>
  <c r="J35" i="25" s="1"/>
  <c r="I36" i="25" a="1"/>
  <c r="I36" i="25" s="1"/>
  <c r="B9" i="25"/>
  <c r="O31" i="25" a="1"/>
  <c r="O31" i="25" s="1"/>
  <c r="B10" i="25"/>
  <c r="H38" i="25" a="1"/>
  <c r="H38" i="25" s="1"/>
  <c r="M33" i="25" a="1"/>
  <c r="M33" i="25" s="1"/>
  <c r="I37" i="25" a="1"/>
  <c r="I37" i="25" s="1"/>
  <c r="J36" i="25" a="1"/>
  <c r="J36" i="25" s="1"/>
  <c r="L34" i="25" a="1"/>
  <c r="L34" i="25" s="1"/>
  <c r="K35" i="25" a="1"/>
  <c r="K35" i="25" s="1"/>
  <c r="G39" i="25" a="1"/>
  <c r="G39" i="25" s="1"/>
  <c r="N32" i="25" a="1"/>
  <c r="N32" i="25" s="1"/>
  <c r="B25" i="25"/>
  <c r="F42" i="25" a="1"/>
  <c r="F42" i="25" s="1"/>
  <c r="J35" i="28" a="1"/>
  <c r="J35" i="28" s="1"/>
  <c r="L33" i="28" a="1"/>
  <c r="L33" i="28" s="1"/>
  <c r="K34" i="28" a="1"/>
  <c r="K34" i="28" s="1"/>
  <c r="G38" i="28" a="1"/>
  <c r="G38" i="28" s="1"/>
  <c r="B7" i="28"/>
  <c r="AI7" i="28" s="1"/>
  <c r="H37" i="28" a="1"/>
  <c r="H37" i="28" s="1"/>
  <c r="I36" i="28" a="1"/>
  <c r="I36" i="28" s="1"/>
  <c r="B22" i="28"/>
  <c r="AI22" i="28" s="1"/>
  <c r="R42" i="28" a="1"/>
  <c r="R42" i="28" s="1"/>
  <c r="Q43" i="28" a="1"/>
  <c r="Q43" i="28" s="1"/>
  <c r="F41" i="28" a="1"/>
  <c r="F41" i="28" s="1"/>
  <c r="P44" i="28" a="1"/>
  <c r="P44" i="28" s="1"/>
  <c r="G33" i="28" a="1"/>
  <c r="G33" i="28" s="1"/>
  <c r="B2" i="28"/>
  <c r="AI2" i="28" s="1"/>
  <c r="R41" i="25" a="1"/>
  <c r="R41" i="25" s="1"/>
  <c r="F40" i="25" a="1"/>
  <c r="F40" i="25" s="1"/>
  <c r="Q42" i="25" a="1"/>
  <c r="Q42" i="25" s="1"/>
  <c r="B23" i="25"/>
  <c r="G31" i="25" a="1"/>
  <c r="G31" i="25" s="1"/>
  <c r="B2" i="25"/>
  <c r="J32" i="25" a="1"/>
  <c r="J32" i="25" s="1"/>
  <c r="I33" i="25" a="1"/>
  <c r="I33" i="25" s="1"/>
  <c r="H34" i="25" a="1"/>
  <c r="H34" i="25" s="1"/>
  <c r="G35" i="25" a="1"/>
  <c r="G35" i="25" s="1"/>
  <c r="K31" i="25" a="1"/>
  <c r="K31" i="25" s="1"/>
  <c r="B6" i="25"/>
  <c r="P39" i="25" a="1"/>
  <c r="P39" i="25" s="1"/>
  <c r="B19" i="25"/>
  <c r="M42" i="25" a="1"/>
  <c r="M42" i="25" s="1"/>
  <c r="N41" i="25" a="1"/>
  <c r="N41" i="25" s="1"/>
  <c r="R37" i="25" a="1"/>
  <c r="R37" i="25" s="1"/>
  <c r="O40" i="25" a="1"/>
  <c r="O40" i="25" s="1"/>
  <c r="Q38" i="25" a="1"/>
  <c r="Q38" i="25" s="1"/>
  <c r="F36" i="25" a="1"/>
  <c r="F36" i="25" s="1"/>
  <c r="G36" i="28" a="1"/>
  <c r="G36" i="28" s="1"/>
  <c r="H35" i="28" a="1"/>
  <c r="H35" i="28" s="1"/>
  <c r="I34" i="28" a="1"/>
  <c r="I34" i="28" s="1"/>
  <c r="J33" i="28" a="1"/>
  <c r="J33" i="28" s="1"/>
  <c r="B5" i="28"/>
  <c r="AI5" i="28" s="1"/>
  <c r="R44" i="28" a="1"/>
  <c r="R44" i="28" s="1"/>
  <c r="F43" i="28" a="1"/>
  <c r="F43" i="28" s="1"/>
  <c r="B24" i="28"/>
  <c r="AI24" i="28" s="1"/>
  <c r="M37" i="28" a="1"/>
  <c r="M37" i="28" s="1"/>
  <c r="K39" i="28" a="1"/>
  <c r="K39" i="28" s="1"/>
  <c r="N36" i="28" a="1"/>
  <c r="N36" i="28" s="1"/>
  <c r="L38" i="28" a="1"/>
  <c r="L38" i="28" s="1"/>
  <c r="G43" i="28" a="1"/>
  <c r="G43" i="28" s="1"/>
  <c r="O35" i="28" a="1"/>
  <c r="O35" i="28" s="1"/>
  <c r="I41" i="28" a="1"/>
  <c r="I41" i="28" s="1"/>
  <c r="Q33" i="28" a="1"/>
  <c r="Q33" i="28" s="1"/>
  <c r="P34" i="28" a="1"/>
  <c r="P34" i="28" s="1"/>
  <c r="J40" i="28" a="1"/>
  <c r="J40" i="28" s="1"/>
  <c r="B12" i="28"/>
  <c r="AI12" i="28" s="1"/>
  <c r="H42" i="28" a="1"/>
  <c r="H42" i="28" s="1"/>
  <c r="B7" i="25"/>
  <c r="K32" i="25" a="1"/>
  <c r="K32" i="25" s="1"/>
  <c r="G36" i="25" a="1"/>
  <c r="G36" i="25" s="1"/>
  <c r="L31" i="25" a="1"/>
  <c r="L31" i="25" s="1"/>
  <c r="I34" i="25" a="1"/>
  <c r="I34" i="25" s="1"/>
  <c r="H35" i="25" a="1"/>
  <c r="H35" i="25" s="1"/>
  <c r="J33" i="25" a="1"/>
  <c r="J33" i="25" s="1"/>
  <c r="P41" i="25" a="1"/>
  <c r="P41" i="25" s="1"/>
  <c r="R39" i="25" a="1"/>
  <c r="R39" i="25" s="1"/>
  <c r="O42" i="25" a="1"/>
  <c r="O42" i="25" s="1"/>
  <c r="F38" i="25" a="1"/>
  <c r="F38" i="25" s="1"/>
  <c r="B21" i="25"/>
  <c r="Q40" i="25" a="1"/>
  <c r="Q40" i="25" s="1"/>
  <c r="O34" i="25" a="1"/>
  <c r="O34" i="25" s="1"/>
  <c r="G42" i="25" a="1"/>
  <c r="G42" i="25" s="1"/>
  <c r="L37" i="25" a="1"/>
  <c r="L37" i="25" s="1"/>
  <c r="H41" i="25" a="1"/>
  <c r="H41" i="25" s="1"/>
  <c r="N35" i="25" a="1"/>
  <c r="N35" i="25" s="1"/>
  <c r="I40" i="25" a="1"/>
  <c r="I40" i="25" s="1"/>
  <c r="R31" i="25" a="1"/>
  <c r="R31" i="25" s="1"/>
  <c r="K38" i="25" a="1"/>
  <c r="K38" i="25" s="1"/>
  <c r="M36" i="25" a="1"/>
  <c r="M36" i="25" s="1"/>
  <c r="P33" i="25" a="1"/>
  <c r="P33" i="25" s="1"/>
  <c r="Q32" i="25" a="1"/>
  <c r="Q32" i="25" s="1"/>
  <c r="J39" i="25" a="1"/>
  <c r="J39" i="25" s="1"/>
  <c r="B13" i="25"/>
  <c r="F39" i="25" a="1"/>
  <c r="F39" i="25" s="1"/>
  <c r="Q41" i="25" a="1"/>
  <c r="Q41" i="25" s="1"/>
  <c r="B22" i="25"/>
  <c r="R40" i="25" a="1"/>
  <c r="R40" i="25" s="1"/>
  <c r="P42" i="25" a="1"/>
  <c r="P42" i="25" s="1"/>
  <c r="G40" i="28" a="1"/>
  <c r="G40" i="28" s="1"/>
  <c r="L35" i="28" a="1"/>
  <c r="L35" i="28" s="1"/>
  <c r="M34" i="28" a="1"/>
  <c r="M34" i="28" s="1"/>
  <c r="H39" i="28" a="1"/>
  <c r="H39" i="28" s="1"/>
  <c r="I38" i="28" a="1"/>
  <c r="I38" i="28" s="1"/>
  <c r="B9" i="28"/>
  <c r="AI9" i="28" s="1"/>
  <c r="K36" i="28" a="1"/>
  <c r="K36" i="28" s="1"/>
  <c r="N33" i="28" a="1"/>
  <c r="N33" i="28" s="1"/>
  <c r="J37" i="28" a="1"/>
  <c r="J37" i="28" s="1"/>
  <c r="H38" i="28" a="1"/>
  <c r="H38" i="28" s="1"/>
  <c r="L34" i="28" a="1"/>
  <c r="L34" i="28" s="1"/>
  <c r="K35" i="28" a="1"/>
  <c r="K35" i="28" s="1"/>
  <c r="G39" i="28" a="1"/>
  <c r="G39" i="28" s="1"/>
  <c r="M33" i="28" a="1"/>
  <c r="M33" i="28" s="1"/>
  <c r="J36" i="28" a="1"/>
  <c r="J36" i="28" s="1"/>
  <c r="I37" i="28" a="1"/>
  <c r="I37" i="28" s="1"/>
  <c r="B8" i="28"/>
  <c r="AI8" i="28" s="1"/>
  <c r="P36" i="28" a="1"/>
  <c r="P36" i="28" s="1"/>
  <c r="H44" i="28" a="1"/>
  <c r="H44" i="28" s="1"/>
  <c r="O37" i="28" a="1"/>
  <c r="O37" i="28" s="1"/>
  <c r="J42" i="28" a="1"/>
  <c r="J42" i="28" s="1"/>
  <c r="K41" i="28" a="1"/>
  <c r="K41" i="28" s="1"/>
  <c r="L40" i="28" a="1"/>
  <c r="L40" i="28" s="1"/>
  <c r="M39" i="28" a="1"/>
  <c r="M39" i="28" s="1"/>
  <c r="B14" i="28"/>
  <c r="AI14" i="28" s="1"/>
  <c r="I43" i="28" a="1"/>
  <c r="I43" i="28" s="1"/>
  <c r="F33" i="28" a="1"/>
  <c r="F33" i="28" s="1"/>
  <c r="Q35" i="28" a="1"/>
  <c r="Q35" i="28" s="1"/>
  <c r="R34" i="28" a="1"/>
  <c r="R34" i="28" s="1"/>
  <c r="N38" i="28" a="1"/>
  <c r="N38" i="28" s="1"/>
  <c r="M39" i="25" a="1"/>
  <c r="M39" i="25" s="1"/>
  <c r="L40" i="25" a="1"/>
  <c r="L40" i="25" s="1"/>
  <c r="B16" i="25"/>
  <c r="F33" i="25" a="1"/>
  <c r="F33" i="25" s="1"/>
  <c r="N38" i="25" a="1"/>
  <c r="N38" i="25" s="1"/>
  <c r="P36" i="25" a="1"/>
  <c r="P36" i="25" s="1"/>
  <c r="O37" i="25" a="1"/>
  <c r="O37" i="25" s="1"/>
  <c r="R34" i="25" a="1"/>
  <c r="R34" i="25" s="1"/>
  <c r="K41" i="25" a="1"/>
  <c r="K41" i="25" s="1"/>
  <c r="Q35" i="25" a="1"/>
  <c r="Q35" i="25" s="1"/>
  <c r="J42" i="25" a="1"/>
  <c r="J42" i="25" s="1"/>
  <c r="G37" i="25" a="1"/>
  <c r="G37" i="25" s="1"/>
  <c r="L32" i="25" a="1"/>
  <c r="L32" i="25" s="1"/>
  <c r="H36" i="25" a="1"/>
  <c r="H36" i="25" s="1"/>
  <c r="I35" i="25" a="1"/>
  <c r="I35" i="25" s="1"/>
  <c r="M31" i="25" a="1"/>
  <c r="M31" i="25" s="1"/>
  <c r="J34" i="25" a="1"/>
  <c r="J34" i="25" s="1"/>
  <c r="K33" i="25" a="1"/>
  <c r="K33" i="25" s="1"/>
  <c r="B8" i="25"/>
  <c r="F35" i="25" a="1"/>
  <c r="F35" i="25" s="1"/>
  <c r="O39" i="25" a="1"/>
  <c r="O39" i="25" s="1"/>
  <c r="L42" i="25" a="1"/>
  <c r="L42" i="25" s="1"/>
  <c r="B18" i="25"/>
  <c r="P38" i="25" a="1"/>
  <c r="P38" i="25" s="1"/>
  <c r="R36" i="25" a="1"/>
  <c r="R36" i="25" s="1"/>
  <c r="M41" i="25" a="1"/>
  <c r="M41" i="25" s="1"/>
  <c r="N40" i="25" a="1"/>
  <c r="N40" i="25" s="1"/>
  <c r="Q37" i="25" a="1"/>
  <c r="Q37" i="25" s="1"/>
  <c r="L36" i="28" a="1"/>
  <c r="L36" i="28" s="1"/>
  <c r="H40" i="28" a="1"/>
  <c r="H40" i="28" s="1"/>
  <c r="B10" i="28"/>
  <c r="AI10" i="28" s="1"/>
  <c r="I39" i="28" a="1"/>
  <c r="I39" i="28" s="1"/>
  <c r="M35" i="28" a="1"/>
  <c r="M35" i="28" s="1"/>
  <c r="N34" i="28" a="1"/>
  <c r="N34" i="28" s="1"/>
  <c r="J38" i="28" a="1"/>
  <c r="J38" i="28" s="1"/>
  <c r="O33" i="28" a="1"/>
  <c r="O33" i="28" s="1"/>
  <c r="K37" i="28" a="1"/>
  <c r="K37" i="28" s="1"/>
  <c r="G41" i="28" a="1"/>
  <c r="G41" i="28" s="1"/>
  <c r="H33" i="28" a="1"/>
  <c r="H33" i="28" s="1"/>
  <c r="G34" i="28" a="1"/>
  <c r="G34" i="28" s="1"/>
  <c r="B3" i="28"/>
  <c r="AI3" i="28" s="1"/>
  <c r="H43" i="28" a="1"/>
  <c r="H43" i="28" s="1"/>
  <c r="B13" i="28"/>
  <c r="AI13" i="28" s="1"/>
  <c r="K40" i="28" a="1"/>
  <c r="K40" i="28" s="1"/>
  <c r="M38" i="28" a="1"/>
  <c r="M38" i="28" s="1"/>
  <c r="I42" i="28" a="1"/>
  <c r="I42" i="28" s="1"/>
  <c r="N37" i="28" a="1"/>
  <c r="N37" i="28" s="1"/>
  <c r="L39" i="28" a="1"/>
  <c r="L39" i="28" s="1"/>
  <c r="G44" i="28" a="1"/>
  <c r="G44" i="28" s="1"/>
  <c r="O36" i="28" a="1"/>
  <c r="O36" i="28" s="1"/>
  <c r="R33" i="28" a="1"/>
  <c r="R33" i="28" s="1"/>
  <c r="P35" i="28" a="1"/>
  <c r="P35" i="28" s="1"/>
  <c r="Q34" i="28" a="1"/>
  <c r="Q34" i="28" s="1"/>
  <c r="J41" i="28" a="1"/>
  <c r="J41" i="28" s="1"/>
  <c r="I38" i="25" a="1"/>
  <c r="I38" i="25" s="1"/>
  <c r="H39" i="25" a="1"/>
  <c r="H39" i="25" s="1"/>
  <c r="P31" i="25" a="1"/>
  <c r="P31" i="25" s="1"/>
  <c r="M34" i="25" a="1"/>
  <c r="M34" i="25" s="1"/>
  <c r="B11" i="25"/>
  <c r="N33" i="25" a="1"/>
  <c r="N33" i="25" s="1"/>
  <c r="J37" i="25" a="1"/>
  <c r="J37" i="25" s="1"/>
  <c r="G40" i="25" a="1"/>
  <c r="G40" i="25" s="1"/>
  <c r="O32" i="25" a="1"/>
  <c r="O32" i="25" s="1"/>
  <c r="L35" i="25" a="1"/>
  <c r="L35" i="25" s="1"/>
  <c r="K36" i="25" a="1"/>
  <c r="K36" i="25" s="1"/>
  <c r="B3" i="25"/>
  <c r="H31" i="25" a="1"/>
  <c r="H31" i="25" s="1"/>
  <c r="G32" i="25" a="1"/>
  <c r="G32" i="25" s="1"/>
  <c r="I42" i="25" a="1"/>
  <c r="I42" i="25" s="1"/>
  <c r="B15" i="25"/>
  <c r="M38" i="25" a="1"/>
  <c r="M38" i="25" s="1"/>
  <c r="P35" i="25" a="1"/>
  <c r="P35" i="25" s="1"/>
  <c r="F32" i="25" a="1"/>
  <c r="F32" i="25" s="1"/>
  <c r="Q34" i="25" a="1"/>
  <c r="Q34" i="25" s="1"/>
  <c r="J41" i="25" a="1"/>
  <c r="J41" i="25" s="1"/>
  <c r="K40" i="25" a="1"/>
  <c r="K40" i="25" s="1"/>
  <c r="L39" i="25" a="1"/>
  <c r="L39" i="25" s="1"/>
  <c r="O36" i="25" a="1"/>
  <c r="O36" i="25" s="1"/>
  <c r="R33" i="25" a="1"/>
  <c r="R33" i="25" s="1"/>
  <c r="N37" i="25" a="1"/>
  <c r="N37" i="25" s="1"/>
  <c r="R36" i="28" a="1"/>
  <c r="R36" i="28" s="1"/>
  <c r="J44" i="28" a="1"/>
  <c r="J44" i="28" s="1"/>
  <c r="B16" i="28"/>
  <c r="AI16" i="28" s="1"/>
  <c r="K43" i="28" a="1"/>
  <c r="K43" i="28" s="1"/>
  <c r="L42" i="28" a="1"/>
  <c r="L42" i="28" s="1"/>
  <c r="M41" i="28" a="1"/>
  <c r="M41" i="28" s="1"/>
  <c r="F35" i="28" a="1"/>
  <c r="F35" i="28" s="1"/>
  <c r="Q37" i="28" a="1"/>
  <c r="Q37" i="28" s="1"/>
  <c r="O39" i="28" a="1"/>
  <c r="O39" i="28" s="1"/>
  <c r="N40" i="28" a="1"/>
  <c r="N40" i="28" s="1"/>
  <c r="P38" i="28" a="1"/>
  <c r="P38" i="28" s="1"/>
  <c r="O44" i="28" a="1"/>
  <c r="O44" i="28" s="1"/>
  <c r="F40" i="28" a="1"/>
  <c r="F40" i="28" s="1"/>
  <c r="B21" i="28"/>
  <c r="AI21" i="28" s="1"/>
  <c r="Q42" i="28" a="1"/>
  <c r="Q42" i="28" s="1"/>
  <c r="P43" i="28" a="1"/>
  <c r="P43" i="28" s="1"/>
  <c r="R41" i="28" a="1"/>
  <c r="R41" i="28" s="1"/>
  <c r="G35" i="28" a="1"/>
  <c r="G35" i="28" s="1"/>
  <c r="H34" i="28" a="1"/>
  <c r="H34" i="28" s="1"/>
  <c r="I33" i="28" a="1"/>
  <c r="I33" i="28" s="1"/>
  <c r="B4" i="28"/>
  <c r="AI4" i="28" s="1"/>
  <c r="P34" i="25" a="1"/>
  <c r="P34" i="25" s="1"/>
  <c r="I41" i="25" a="1"/>
  <c r="I41" i="25" s="1"/>
  <c r="L38" i="25" a="1"/>
  <c r="L38" i="25" s="1"/>
  <c r="F31" i="25" a="1"/>
  <c r="F31" i="25" s="1"/>
  <c r="J40" i="25" a="1"/>
  <c r="J40" i="25" s="1"/>
  <c r="N36" i="25" a="1"/>
  <c r="N36" i="25" s="1"/>
  <c r="R32" i="25" a="1"/>
  <c r="R32" i="25" s="1"/>
  <c r="M37" i="25" a="1"/>
  <c r="M37" i="25" s="1"/>
  <c r="B14" i="25"/>
  <c r="K39" i="25" a="1"/>
  <c r="K39" i="25" s="1"/>
  <c r="O35" i="25" a="1"/>
  <c r="O35" i="25" s="1"/>
  <c r="H42" i="25" a="1"/>
  <c r="H42" i="25" s="1"/>
  <c r="Q33" i="25" a="1"/>
  <c r="Q33" i="25" s="1"/>
  <c r="I32" i="25" a="1"/>
  <c r="I32" i="25" s="1"/>
  <c r="H33" i="25" a="1"/>
  <c r="H33" i="25" s="1"/>
  <c r="G34" i="25" a="1"/>
  <c r="G34" i="25" s="1"/>
  <c r="J31" i="25" a="1"/>
  <c r="J31" i="25" s="1"/>
  <c r="B5" i="25"/>
  <c r="M40" i="25" a="1"/>
  <c r="M40" i="25" s="1"/>
  <c r="Q36" i="25" a="1"/>
  <c r="Q36" i="25" s="1"/>
  <c r="P37" i="25" a="1"/>
  <c r="P37" i="25" s="1"/>
  <c r="B17" i="25"/>
  <c r="R35" i="25" a="1"/>
  <c r="R35" i="25" s="1"/>
  <c r="L41" i="25" a="1"/>
  <c r="L41" i="25" s="1"/>
  <c r="O38" i="25" a="1"/>
  <c r="O38" i="25" s="1"/>
  <c r="F34" i="25" a="1"/>
  <c r="F34" i="25" s="1"/>
  <c r="K42" i="25" a="1"/>
  <c r="K42" i="25" s="1"/>
  <c r="N39" i="25" a="1"/>
  <c r="N39" i="25" s="1"/>
  <c r="Q41" i="28" a="1"/>
  <c r="Q41" i="28" s="1"/>
  <c r="B20" i="28"/>
  <c r="AI20" i="28" s="1"/>
  <c r="F39" i="28" a="1"/>
  <c r="F39" i="28" s="1"/>
  <c r="R40" i="28" a="1"/>
  <c r="R40" i="28" s="1"/>
  <c r="O43" i="28" a="1"/>
  <c r="O43" i="28" s="1"/>
  <c r="N44" i="28" a="1"/>
  <c r="N44" i="28" s="1"/>
  <c r="P42" i="28" a="1"/>
  <c r="P42" i="28" s="1"/>
  <c r="J34" i="28" a="1"/>
  <c r="J34" i="28" s="1"/>
  <c r="G37" i="28" a="1"/>
  <c r="G37" i="28" s="1"/>
  <c r="K33" i="28" a="1"/>
  <c r="K33" i="28" s="1"/>
  <c r="H36" i="28" a="1"/>
  <c r="H36" i="28" s="1"/>
  <c r="B6" i="28"/>
  <c r="AI6" i="28" s="1"/>
  <c r="I35" i="28" a="1"/>
  <c r="I35" i="28" s="1"/>
  <c r="L44" i="28" a="1"/>
  <c r="L44" i="28" s="1"/>
  <c r="M43" i="28" a="1"/>
  <c r="M43" i="28" s="1"/>
  <c r="R38" i="28" a="1"/>
  <c r="R38" i="28" s="1"/>
  <c r="F37" i="28" a="1"/>
  <c r="F37" i="28" s="1"/>
  <c r="N42" i="28" a="1"/>
  <c r="N42" i="28" s="1"/>
  <c r="B18" i="28"/>
  <c r="AI18" i="28" s="1"/>
  <c r="O41" i="28" a="1"/>
  <c r="O41" i="28" s="1"/>
  <c r="Q39" i="28" a="1"/>
  <c r="Q39" i="28" s="1"/>
  <c r="P40" i="28" a="1"/>
  <c r="P40" i="28" s="1"/>
  <c r="I31" i="25" a="1"/>
  <c r="I31" i="25" s="1"/>
  <c r="B4" i="25"/>
  <c r="G33" i="25" a="1"/>
  <c r="G33" i="25" s="1"/>
  <c r="H32" i="25" a="1"/>
  <c r="H32" i="25" s="1"/>
  <c r="N42" i="25" a="1"/>
  <c r="N42" i="25" s="1"/>
  <c r="Q39" i="25" a="1"/>
  <c r="Q39" i="25" s="1"/>
  <c r="P40" i="25" a="1"/>
  <c r="P40" i="25" s="1"/>
  <c r="B20" i="25"/>
  <c r="R38" i="25" a="1"/>
  <c r="R38" i="25" s="1"/>
  <c r="O41" i="25" a="1"/>
  <c r="O41" i="25" s="1"/>
  <c r="F37" i="25" a="1"/>
  <c r="F37" i="25" s="1"/>
  <c r="R42" i="25" a="1"/>
  <c r="R42" i="25" s="1"/>
  <c r="B24" i="25"/>
  <c r="F41" i="25" a="1"/>
  <c r="F41" i="25" s="1"/>
  <c r="N39" i="28" a="1"/>
  <c r="N39" i="28" s="1"/>
  <c r="K42" i="28" a="1"/>
  <c r="K42" i="28" s="1"/>
  <c r="R35" i="28" a="1"/>
  <c r="R35" i="28" s="1"/>
  <c r="P37" i="28" a="1"/>
  <c r="P37" i="28" s="1"/>
  <c r="Q36" i="28" a="1"/>
  <c r="Q36" i="28" s="1"/>
  <c r="F34" i="28" a="1"/>
  <c r="F34" i="28" s="1"/>
  <c r="B15" i="28"/>
  <c r="AI15" i="28" s="1"/>
  <c r="M40" i="28" a="1"/>
  <c r="M40" i="28" s="1"/>
  <c r="O38" i="28" a="1"/>
  <c r="O38" i="28" s="1"/>
  <c r="I44" i="28" a="1"/>
  <c r="I44" i="28" s="1"/>
  <c r="J43" i="28" a="1"/>
  <c r="J43" i="28" s="1"/>
  <c r="L41" i="28" a="1"/>
  <c r="L41" i="28" s="1"/>
  <c r="O34" i="28" a="1"/>
  <c r="O34" i="28" s="1"/>
  <c r="N35" i="28" a="1"/>
  <c r="N35" i="28" s="1"/>
  <c r="P33" i="28" a="1"/>
  <c r="P33" i="28" s="1"/>
  <c r="J39" i="28" a="1"/>
  <c r="J39" i="28" s="1"/>
  <c r="B11" i="28"/>
  <c r="AI11" i="28" s="1"/>
  <c r="L37" i="28" a="1"/>
  <c r="L37" i="28" s="1"/>
  <c r="H41" i="28" a="1"/>
  <c r="H41" i="28" s="1"/>
  <c r="I40" i="28" a="1"/>
  <c r="I40" i="28" s="1"/>
  <c r="M36" i="28" a="1"/>
  <c r="M36" i="28" s="1"/>
  <c r="K38" i="28" a="1"/>
  <c r="K38" i="28" s="1"/>
  <c r="G42" i="28" a="1"/>
  <c r="G42" i="28" s="1"/>
  <c r="F44" i="28" a="1"/>
  <c r="F44" i="28" s="1"/>
  <c r="B25" i="28"/>
  <c r="AI25" i="28" s="1"/>
  <c r="K44" i="28" a="1"/>
  <c r="K44" i="28" s="1"/>
  <c r="F36" i="28" a="1"/>
  <c r="F36" i="28" s="1"/>
  <c r="Q38" i="28" a="1"/>
  <c r="Q38" i="28" s="1"/>
  <c r="R37" i="28" a="1"/>
  <c r="R37" i="28" s="1"/>
  <c r="M42" i="28" a="1"/>
  <c r="M42" i="28" s="1"/>
  <c r="P39" i="28" a="1"/>
  <c r="P39" i="28" s="1"/>
  <c r="N41" i="28" a="1"/>
  <c r="N41" i="28" s="1"/>
  <c r="O40" i="28" a="1"/>
  <c r="O40" i="28" s="1"/>
  <c r="L43" i="28" a="1"/>
  <c r="L43" i="28" s="1"/>
  <c r="B17" i="28"/>
  <c r="AI17" i="28" s="1"/>
  <c r="B23" i="28"/>
  <c r="AI23" i="28" s="1"/>
  <c r="R43" i="28" a="1"/>
  <c r="R43" i="28" s="1"/>
  <c r="F42" i="28" a="1"/>
  <c r="F42" i="28" s="1"/>
  <c r="Q44" i="28" a="1"/>
  <c r="Q44" i="28" s="1"/>
  <c r="B19" i="28"/>
  <c r="AI19" i="28" s="1"/>
  <c r="M44" i="28" a="1"/>
  <c r="M44" i="28" s="1"/>
  <c r="N43" i="28" a="1"/>
  <c r="N43" i="28" s="1"/>
  <c r="O42" i="28" a="1"/>
  <c r="O42" i="28" s="1"/>
  <c r="Q40" i="28" a="1"/>
  <c r="Q40" i="28" s="1"/>
  <c r="P41" i="28" a="1"/>
  <c r="P41" i="28" s="1"/>
  <c r="F38" i="28" a="1"/>
  <c r="F38" i="28" s="1"/>
  <c r="R39" i="28" a="1"/>
  <c r="R39" i="28" s="1"/>
  <c r="D33" i="28" l="1" a="1"/>
  <c r="D33" i="28" s="1"/>
  <c r="D31" i="25" a="1"/>
  <c r="D31" i="25" s="1"/>
  <c r="D26" i="25" l="1"/>
  <c r="B26" i="25" s="1"/>
  <c r="D26" i="28"/>
  <c r="B26" i="28" s="1"/>
  <c r="D27" i="25" l="1"/>
  <c r="B27" i="25" s="1"/>
  <c r="D27" i="28"/>
  <c r="B27" i="28" s="1"/>
  <c r="D28" i="25"/>
  <c r="D28" i="28" l="1"/>
  <c r="B28" i="28" s="1"/>
  <c r="B28" i="25"/>
  <c r="D29" i="25"/>
  <c r="B29" i="25" s="1"/>
  <c r="D29" i="28" l="1"/>
  <c r="B29" i="2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0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</futureMetadata>
  <cellMetadata count="1">
    <bk>
      <rc t="1" v="0"/>
    </bk>
  </cellMetadata>
  <valueMetadata count="40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</valueMetadata>
</metadata>
</file>

<file path=xl/sharedStrings.xml><?xml version="1.0" encoding="utf-8"?>
<sst xmlns="http://schemas.openxmlformats.org/spreadsheetml/2006/main" count="1371" uniqueCount="593">
  <si>
    <r>
      <t>Test C=V</t>
    </r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>V</t>
    </r>
    <r>
      <rPr>
        <vertAlign val="superscript"/>
        <sz val="11"/>
        <color theme="1"/>
        <rFont val="Aptos Narrow"/>
        <family val="2"/>
      </rPr>
      <t>T</t>
    </r>
  </si>
  <si>
    <t>estimates of P1 based on just PC1 and PC2</t>
  </si>
  <si>
    <t>X</t>
  </si>
  <si>
    <t>X'</t>
  </si>
  <si>
    <t>Y=BX</t>
  </si>
  <si>
    <t>V reduced to 2 components</t>
  </si>
  <si>
    <t>M4</t>
  </si>
  <si>
    <r>
      <t>X</t>
    </r>
    <r>
      <rPr>
        <vertAlign val="subscript"/>
        <sz val="11"/>
        <color theme="1"/>
        <rFont val="Aptos Narrow"/>
        <family val="2"/>
        <scheme val="minor"/>
      </rPr>
      <t>S</t>
    </r>
  </si>
  <si>
    <t>M3</t>
  </si>
  <si>
    <t>M2</t>
  </si>
  <si>
    <t>St Dev</t>
  </si>
  <si>
    <r>
      <rPr>
        <sz val="11"/>
        <color theme="1"/>
        <rFont val="Symbol"/>
        <family val="1"/>
        <charset val="2"/>
      </rPr>
      <t>Sl</t>
    </r>
    <r>
      <rPr>
        <sz val="11"/>
        <color theme="1"/>
        <rFont val="Aptos Narrow"/>
        <family val="2"/>
      </rPr>
      <t>%</t>
    </r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</si>
  <si>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>%</t>
    </r>
  </si>
  <si>
    <t>l</t>
  </si>
  <si>
    <t>M1</t>
  </si>
  <si>
    <t>V</t>
  </si>
  <si>
    <t>Mean</t>
  </si>
  <si>
    <t>L</t>
  </si>
  <si>
    <t>Y</t>
  </si>
  <si>
    <r>
      <t>tr(</t>
    </r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>)=</t>
    </r>
    <r>
      <rPr>
        <sz val="11"/>
        <color theme="1"/>
        <rFont val="Symbol"/>
        <family val="1"/>
        <charset val="2"/>
      </rPr>
      <t>Sl</t>
    </r>
  </si>
  <si>
    <t>Trace:</t>
  </si>
  <si>
    <t>Eigen of C</t>
  </si>
  <si>
    <t>P6</t>
  </si>
  <si>
    <t>P5</t>
  </si>
  <si>
    <t>PC4</t>
  </si>
  <si>
    <t>P4</t>
  </si>
  <si>
    <t>PC3</t>
  </si>
  <si>
    <t>P3</t>
  </si>
  <si>
    <t>PC2</t>
  </si>
  <si>
    <t>P2</t>
  </si>
  <si>
    <t>PC1</t>
  </si>
  <si>
    <t>P1</t>
  </si>
  <si>
    <r>
      <t>Y=V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X'</t>
    </r>
  </si>
  <si>
    <t>X=P1 transp</t>
  </si>
  <si>
    <t>V eigenvectors of Covar</t>
  </si>
  <si>
    <r>
      <t>C of X</t>
    </r>
    <r>
      <rPr>
        <vertAlign val="subscript"/>
        <sz val="11"/>
        <color theme="1"/>
        <rFont val="Aptos Narrow"/>
        <family val="2"/>
        <scheme val="minor"/>
      </rPr>
      <t>S</t>
    </r>
  </si>
  <si>
    <t>Sum</t>
  </si>
  <si>
    <t>C</t>
  </si>
  <si>
    <t>PC2 eigenvector loading</t>
  </si>
  <si>
    <t>PC2 score</t>
  </si>
  <si>
    <t>Average</t>
  </si>
  <si>
    <t>PC1 eigenvector loading</t>
  </si>
  <si>
    <t>Centred</t>
  </si>
  <si>
    <t>PC1 score</t>
  </si>
  <si>
    <t>Eigenvectors</t>
  </si>
  <si>
    <t>Eigenvalues</t>
  </si>
  <si>
    <t>Cum</t>
  </si>
  <si>
    <t>Explained variance</t>
  </si>
  <si>
    <t>Covariance</t>
  </si>
  <si>
    <t>What matters is the relative position of the data points along that axis.</t>
  </si>
  <si>
    <t>because the direction of a principal component is meaningless.</t>
  </si>
  <si>
    <t>The signs are arbitrary and not uniquely defined, which is perfectly OK,</t>
  </si>
  <si>
    <t>However, V matrices also have the opposite signs, so this is OK.</t>
  </si>
  <si>
    <t>The score matrix is identical, but with opposite signs.</t>
  </si>
  <si>
    <r>
      <t xml:space="preserve">From </t>
    </r>
    <r>
      <rPr>
        <sz val="11"/>
        <color theme="1"/>
        <rFont val="Symbol"/>
        <family val="1"/>
        <charset val="2"/>
      </rPr>
      <t>l</t>
    </r>
    <r>
      <rPr>
        <sz val="9.9"/>
        <color theme="1"/>
        <rFont val="Aptos Narrow"/>
        <family val="2"/>
      </rPr>
      <t xml:space="preserve"> to </t>
    </r>
    <r>
      <rPr>
        <sz val="9.9"/>
        <color theme="1"/>
        <rFont val="Symbol"/>
        <family val="1"/>
        <charset val="2"/>
      </rPr>
      <t>s</t>
    </r>
  </si>
  <si>
    <r>
      <t xml:space="preserve">From </t>
    </r>
    <r>
      <rPr>
        <sz val="11"/>
        <color theme="1"/>
        <rFont val="Symbol"/>
        <family val="1"/>
        <charset val="2"/>
      </rPr>
      <t>s</t>
    </r>
    <r>
      <rPr>
        <sz val="9.9"/>
        <color theme="1"/>
        <rFont val="Aptos Narrow"/>
        <family val="2"/>
      </rPr>
      <t xml:space="preserve"> to </t>
    </r>
    <r>
      <rPr>
        <sz val="9.9"/>
        <color theme="1"/>
        <rFont val="Symbol"/>
        <family val="1"/>
        <charset val="2"/>
      </rPr>
      <t>l</t>
    </r>
  </si>
  <si>
    <r>
      <t>Score matrix U</t>
    </r>
    <r>
      <rPr>
        <sz val="11"/>
        <color theme="1"/>
        <rFont val="Symbol"/>
        <family val="1"/>
        <charset val="2"/>
      </rPr>
      <t>´S</t>
    </r>
    <r>
      <rPr>
        <sz val="11"/>
        <color theme="1"/>
        <rFont val="Aptos Narrow"/>
        <family val="2"/>
        <scheme val="minor"/>
      </rPr>
      <t xml:space="preserve"> from SVD</t>
    </r>
  </si>
  <si>
    <t>=</t>
  </si>
  <si>
    <r>
      <t>Score matrix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Symbol"/>
        <family val="1"/>
        <charset val="2"/>
      </rPr>
      <t>´</t>
    </r>
    <r>
      <rPr>
        <sz val="11"/>
        <color theme="1"/>
        <rFont val="Aptos Narrow"/>
        <family val="2"/>
      </rPr>
      <t>V</t>
    </r>
    <r>
      <rPr>
        <sz val="11"/>
        <color theme="1"/>
        <rFont val="Aptos Narrow"/>
        <family val="2"/>
        <scheme val="minor"/>
      </rPr>
      <t xml:space="preserve"> from EVD</t>
    </r>
  </si>
  <si>
    <r>
      <t>V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</si>
  <si>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</rPr>
      <t xml:space="preserve"> of X</t>
    </r>
    <r>
      <rPr>
        <vertAlign val="subscript"/>
        <sz val="11"/>
        <color theme="1"/>
        <rFont val="Aptos Narrow"/>
        <family val="2"/>
      </rPr>
      <t>C</t>
    </r>
  </si>
  <si>
    <t>Covariance C</t>
  </si>
  <si>
    <t>Eigenvalues and Eigenvectors of C</t>
  </si>
  <si>
    <r>
      <t>U of X</t>
    </r>
    <r>
      <rPr>
        <vertAlign val="subscript"/>
        <sz val="11"/>
        <color theme="1"/>
        <rFont val="Aptos Narrow"/>
        <family val="2"/>
        <scheme val="minor"/>
      </rPr>
      <t>C</t>
    </r>
  </si>
  <si>
    <t>KMO</t>
  </si>
  <si>
    <r>
      <t>Reconstructed: R=LL</t>
    </r>
    <r>
      <rPr>
        <vertAlign val="superscript"/>
        <sz val="11"/>
        <color theme="1"/>
        <rFont val="Aptos Narrow"/>
        <family val="2"/>
        <scheme val="minor"/>
      </rPr>
      <t>T</t>
    </r>
  </si>
  <si>
    <t>Reliability</t>
  </si>
  <si>
    <t>p-value</t>
  </si>
  <si>
    <t>F</t>
  </si>
  <si>
    <t>Do R - R' to show how close we are to the orig R</t>
  </si>
  <si>
    <t>Partial Correl matrix</t>
  </si>
  <si>
    <t>MSA</t>
  </si>
  <si>
    <t>df2</t>
  </si>
  <si>
    <t>df1</t>
  </si>
  <si>
    <t>Communality</t>
  </si>
  <si>
    <r>
      <t>f</t>
    </r>
    <r>
      <rPr>
        <vertAlign val="subscript"/>
        <sz val="11"/>
        <color theme="1"/>
        <rFont val="Aptos Narrow"/>
        <family val="2"/>
        <scheme val="minor"/>
      </rPr>
      <t>4</t>
    </r>
  </si>
  <si>
    <r>
      <t>f</t>
    </r>
    <r>
      <rPr>
        <vertAlign val="subscript"/>
        <sz val="11"/>
        <color theme="1"/>
        <rFont val="Aptos Narrow"/>
        <family val="2"/>
        <scheme val="minor"/>
      </rPr>
      <t>3</t>
    </r>
  </si>
  <si>
    <r>
      <t>f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</si>
  <si>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f</t>
    </r>
    <r>
      <rPr>
        <vertAlign val="subscript"/>
        <sz val="11"/>
        <color theme="1"/>
        <rFont val="Aptos Narrow"/>
        <family val="2"/>
        <scheme val="minor"/>
      </rPr>
      <t>1</t>
    </r>
  </si>
  <si>
    <t>M</t>
  </si>
  <si>
    <t>by just 2 factors</t>
  </si>
  <si>
    <t>Load Matrix L (full scale)</t>
  </si>
  <si>
    <t>SUMSQ of Q</t>
  </si>
  <si>
    <t>% of total variance explained</t>
  </si>
  <si>
    <t>SUMSQ of R</t>
  </si>
  <si>
    <t>Reproduce R from reduced model (R')</t>
  </si>
  <si>
    <t>SQRT Diagonal</t>
  </si>
  <si>
    <r>
      <t>R</t>
    </r>
    <r>
      <rPr>
        <vertAlign val="superscript"/>
        <sz val="11"/>
        <color theme="1"/>
        <rFont val="Aptos Narrow"/>
        <family val="2"/>
        <scheme val="minor"/>
      </rPr>
      <t>-1</t>
    </r>
  </si>
  <si>
    <t>Keiser MSA test</t>
  </si>
  <si>
    <t>Bartlett's test</t>
  </si>
  <si>
    <t>Error matrix test</t>
  </si>
  <si>
    <t>Q</t>
  </si>
  <si>
    <t>Eigenvalues and Eigenvectors</t>
  </si>
  <si>
    <t>Varimax</t>
  </si>
  <si>
    <r>
      <t>Unique</t>
    </r>
    <r>
      <rPr>
        <i/>
        <sz val="11"/>
        <color theme="1"/>
        <rFont val="Aptos Narrow"/>
        <family val="2"/>
        <scheme val="minor"/>
      </rPr>
      <t xml:space="preserve"> </t>
    </r>
    <r>
      <rPr>
        <i/>
        <sz val="11"/>
        <color theme="1"/>
        <rFont val="Symbol"/>
        <family val="1"/>
        <charset val="2"/>
      </rPr>
      <t>y</t>
    </r>
  </si>
  <si>
    <t>Commun</t>
  </si>
  <si>
    <t xml:space="preserve">Varimax Factor matrix </t>
  </si>
  <si>
    <t>Factor scores using Bartlett's method</t>
  </si>
  <si>
    <r>
      <t xml:space="preserve">Unique </t>
    </r>
    <r>
      <rPr>
        <i/>
        <sz val="11"/>
        <color theme="1"/>
        <rFont val="Symbol"/>
        <family val="1"/>
        <charset val="2"/>
      </rPr>
      <t>y</t>
    </r>
  </si>
  <si>
    <t>Factor matrix</t>
  </si>
  <si>
    <t>Correlation matrix R</t>
  </si>
  <si>
    <r>
      <t>w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/>
    </r>
  </si>
  <si>
    <r>
      <t>w</t>
    </r>
    <r>
      <rPr>
        <vertAlign val="subscript"/>
        <sz val="11"/>
        <color theme="1"/>
        <rFont val="Aptos Narrow"/>
        <family val="2"/>
        <scheme val="minor"/>
      </rPr>
      <t>1</t>
    </r>
  </si>
  <si>
    <t>Averages</t>
  </si>
  <si>
    <r>
      <rPr>
        <i/>
        <sz val="11"/>
        <color theme="1"/>
        <rFont val="Aptos Narrow"/>
        <family val="2"/>
        <scheme val="minor"/>
      </rPr>
      <t>L</t>
    </r>
    <r>
      <rPr>
        <i/>
        <vertAlign val="superscript"/>
        <sz val="11"/>
        <color theme="1"/>
        <rFont val="Aptos Narrow"/>
        <family val="2"/>
        <scheme val="minor"/>
      </rPr>
      <t>T</t>
    </r>
    <r>
      <rPr>
        <i/>
        <sz val="11"/>
        <color theme="1"/>
        <rFont val="Symbol"/>
        <family val="1"/>
        <charset val="2"/>
      </rPr>
      <t>y</t>
    </r>
    <r>
      <rPr>
        <i/>
        <vertAlign val="superscript"/>
        <sz val="11"/>
        <color theme="1"/>
        <rFont val="Aptos Narrow"/>
        <family val="2"/>
      </rPr>
      <t>-1</t>
    </r>
    <r>
      <rPr>
        <i/>
        <sz val="11"/>
        <color theme="1"/>
        <rFont val="Aptos Narrow"/>
        <family val="2"/>
      </rPr>
      <t>L</t>
    </r>
  </si>
  <si>
    <t>Cum %</t>
  </si>
  <si>
    <t>%</t>
  </si>
  <si>
    <t>Bartlett's method for factor scores</t>
  </si>
  <si>
    <t>Scree plot data</t>
  </si>
  <si>
    <t>Factor Scores Matrix - Anderson-Rubin's Method</t>
  </si>
  <si>
    <t>Factor Scores Matrix - Bartlett's Method</t>
  </si>
  <si>
    <t>Factor Scores Matrix - Regression Method</t>
  </si>
  <si>
    <t>Error Matrix</t>
  </si>
  <si>
    <t>Reproduced Correlation Matrix</t>
  </si>
  <si>
    <t>Specific</t>
  </si>
  <si>
    <t>Factor Matrix (rotated Varimax)</t>
  </si>
  <si>
    <t>Factor Matrix (unrotated)</t>
  </si>
  <si>
    <t>eValue</t>
  </si>
  <si>
    <t>Scree Plot</t>
  </si>
  <si>
    <t>Full Load Matrix</t>
  </si>
  <si>
    <t>Eigenvalues and eigenvectors</t>
  </si>
  <si>
    <t>Partial Correlation Matrix</t>
  </si>
  <si>
    <t>sqrt(diag)</t>
  </si>
  <si>
    <t>Inverse of Correlation Matrix</t>
  </si>
  <si>
    <t>Correlation Matrix</t>
  </si>
  <si>
    <t>Kurtosis</t>
  </si>
  <si>
    <t>Skewness</t>
  </si>
  <si>
    <t>Std dev</t>
  </si>
  <si>
    <t>Factor Analysis - Principal Component Extraction</t>
  </si>
  <si>
    <r>
      <t>(x</t>
    </r>
    <r>
      <rPr>
        <vertAlign val="subscript"/>
        <sz val="11"/>
        <color theme="1"/>
        <rFont val="Aptos Narrow"/>
        <family val="2"/>
        <scheme val="minor"/>
      </rPr>
      <t>F</t>
    </r>
    <r>
      <rPr>
        <sz val="11"/>
        <color theme="1"/>
        <rFont val="Aptos Narrow"/>
        <family val="2"/>
        <scheme val="minor"/>
      </rPr>
      <t xml:space="preserve"> -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ptos Narrow"/>
        <family val="2"/>
      </rPr>
      <t>)</t>
    </r>
  </si>
  <si>
    <t>or</t>
  </si>
  <si>
    <t xml:space="preserve">New vector </t>
  </si>
  <si>
    <t>Person F</t>
  </si>
  <si>
    <r>
      <t xml:space="preserve">Average </t>
    </r>
    <r>
      <rPr>
        <sz val="11"/>
        <rFont val="Aptos Narrow"/>
        <family val="2"/>
      </rPr>
      <t>μ</t>
    </r>
  </si>
  <si>
    <t>Person E</t>
  </si>
  <si>
    <t>Person D</t>
  </si>
  <si>
    <t>Person C</t>
  </si>
  <si>
    <t>Person B</t>
  </si>
  <si>
    <t>Person A</t>
  </si>
  <si>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Aptos Narrow"/>
        <family val="2"/>
      </rPr>
      <t>-1</t>
    </r>
  </si>
  <si>
    <t>Inverse of Covar</t>
  </si>
  <si>
    <r>
      <t xml:space="preserve">Covariance </t>
    </r>
    <r>
      <rPr>
        <sz val="11"/>
        <color theme="1"/>
        <rFont val="Symbol"/>
        <family val="1"/>
        <charset val="2"/>
      </rPr>
      <t>S</t>
    </r>
  </si>
  <si>
    <r>
      <t>(X</t>
    </r>
    <r>
      <rPr>
        <vertAlign val="subscript"/>
        <sz val="11"/>
        <color theme="1"/>
        <rFont val="Aptos Narrow"/>
        <family val="2"/>
        <scheme val="minor"/>
      </rPr>
      <t>F</t>
    </r>
    <r>
      <rPr>
        <sz val="11"/>
        <color theme="1"/>
        <rFont val="Aptos Narrow"/>
        <family val="2"/>
        <scheme val="minor"/>
      </rPr>
      <t xml:space="preserve"> -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ptos Narrow"/>
        <family val="2"/>
      </rPr>
      <t>)</t>
    </r>
    <r>
      <rPr>
        <vertAlign val="superscript"/>
        <sz val="11"/>
        <color theme="1"/>
        <rFont val="Aptos Narrow"/>
        <family val="2"/>
      </rPr>
      <t>T</t>
    </r>
  </si>
  <si>
    <t>Attitude 2</t>
  </si>
  <si>
    <t>Attitude 1</t>
  </si>
  <si>
    <t>Age</t>
  </si>
  <si>
    <t>Person</t>
  </si>
  <si>
    <r>
      <t>S</t>
    </r>
    <r>
      <rPr>
        <vertAlign val="subscript"/>
        <sz val="11"/>
        <color theme="1"/>
        <rFont val="Aptos Narrow"/>
        <family val="2"/>
        <scheme val="minor"/>
      </rPr>
      <t>W</t>
    </r>
    <r>
      <rPr>
        <vertAlign val="superscript"/>
        <sz val="11"/>
        <color theme="1"/>
        <rFont val="Aptos Narrow"/>
        <family val="2"/>
        <scheme val="minor"/>
      </rPr>
      <t>-1</t>
    </r>
  </si>
  <si>
    <t>Site B</t>
  </si>
  <si>
    <t>Box test</t>
  </si>
  <si>
    <r>
      <t>cd</t>
    </r>
    <r>
      <rPr>
        <vertAlign val="subscript"/>
        <sz val="11"/>
        <color theme="1"/>
        <rFont val="Aptos Narrow"/>
        <family val="2"/>
        <scheme val="minor"/>
      </rPr>
      <t>2</t>
    </r>
  </si>
  <si>
    <t>samples from all sites</t>
  </si>
  <si>
    <t>Sites A+B</t>
  </si>
  <si>
    <t>samples from site A</t>
  </si>
  <si>
    <t>Site B=</t>
  </si>
  <si>
    <t>Site A</t>
  </si>
  <si>
    <t>samples from site B</t>
  </si>
  <si>
    <t>Site A=</t>
  </si>
  <si>
    <t>observations in B</t>
  </si>
  <si>
    <r>
      <t>cd</t>
    </r>
    <r>
      <rPr>
        <vertAlign val="subscript"/>
        <sz val="11"/>
        <color theme="1"/>
        <rFont val="Aptos Narrow"/>
        <family val="2"/>
        <scheme val="minor"/>
      </rPr>
      <t>1</t>
    </r>
  </si>
  <si>
    <t>observations in A</t>
  </si>
  <si>
    <t>Number of groups</t>
  </si>
  <si>
    <t xml:space="preserve">g= </t>
  </si>
  <si>
    <t>Centred values</t>
  </si>
  <si>
    <t>Decomposition of W</t>
  </si>
  <si>
    <r>
      <t>S</t>
    </r>
    <r>
      <rPr>
        <vertAlign val="subscript"/>
        <sz val="11"/>
        <color theme="1"/>
        <rFont val="Aptos Narrow"/>
        <family val="2"/>
        <scheme val="minor"/>
      </rPr>
      <t>W</t>
    </r>
  </si>
  <si>
    <r>
      <rPr>
        <sz val="11"/>
        <color theme="1"/>
        <rFont val="Aptos Narrow"/>
        <family val="2"/>
        <scheme val="minor"/>
      </rPr>
      <t xml:space="preserve">d </t>
    </r>
    <r>
      <rPr>
        <sz val="11"/>
        <color theme="1"/>
        <rFont val="Symbol"/>
        <family val="1"/>
        <charset val="2"/>
      </rPr>
      <t>= m</t>
    </r>
    <r>
      <rPr>
        <vertAlign val="subscript"/>
        <sz val="11"/>
        <color theme="1"/>
        <rFont val="Symbol"/>
        <family val="1"/>
        <charset val="2"/>
      </rPr>
      <t>i</t>
    </r>
    <r>
      <rPr>
        <sz val="11"/>
        <color theme="1"/>
        <rFont val="Symbol"/>
        <family val="1"/>
        <charset val="2"/>
      </rPr>
      <t xml:space="preserve"> - m</t>
    </r>
    <r>
      <rPr>
        <vertAlign val="subscript"/>
        <sz val="11"/>
        <color theme="1"/>
        <rFont val="Symbol"/>
        <family val="1"/>
        <charset val="2"/>
      </rPr>
      <t>2</t>
    </r>
  </si>
  <si>
    <t>Distance between the means</t>
  </si>
  <si>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</si>
  <si>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y = x Q</t>
    </r>
    <r>
      <rPr>
        <vertAlign val="subscript"/>
        <sz val="11"/>
        <color theme="1"/>
        <rFont val="Aptos Narrow"/>
        <family val="2"/>
        <scheme val="minor"/>
      </rPr>
      <t>1</t>
    </r>
  </si>
  <si>
    <t>W</t>
  </si>
  <si>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</si>
  <si>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t>Data projection on Q</t>
    </r>
    <r>
      <rPr>
        <vertAlign val="subscript"/>
        <sz val="11"/>
        <color theme="1"/>
        <rFont val="Aptos Narrow"/>
        <family val="2"/>
        <scheme val="minor"/>
      </rPr>
      <t>1</t>
    </r>
  </si>
  <si>
    <t>Transformation matrix</t>
  </si>
  <si>
    <r>
      <t>S</t>
    </r>
    <r>
      <rPr>
        <vertAlign val="subscript"/>
        <sz val="11"/>
        <color theme="1"/>
        <rFont val="Aptos Narrow"/>
        <family val="2"/>
        <scheme val="minor"/>
      </rPr>
      <t>B</t>
    </r>
  </si>
  <si>
    <t>Means</t>
  </si>
  <si>
    <t>Ele. 3</t>
  </si>
  <si>
    <t>Ele. 2</t>
  </si>
  <si>
    <t>Ele. 1</t>
  </si>
  <si>
    <t>Group</t>
  </si>
  <si>
    <t>Elements in mg/100g</t>
  </si>
  <si>
    <r>
      <t>S</t>
    </r>
    <r>
      <rPr>
        <vertAlign val="subscript"/>
        <sz val="11"/>
        <color theme="1"/>
        <rFont val="Aptos Narrow"/>
        <family val="2"/>
        <scheme val="minor"/>
      </rPr>
      <t>W4</t>
    </r>
  </si>
  <si>
    <r>
      <t>S</t>
    </r>
    <r>
      <rPr>
        <vertAlign val="subscript"/>
        <sz val="11"/>
        <color theme="1"/>
        <rFont val="Aptos Narrow"/>
        <family val="2"/>
        <scheme val="minor"/>
      </rPr>
      <t>B4</t>
    </r>
  </si>
  <si>
    <r>
      <t>S</t>
    </r>
    <r>
      <rPr>
        <vertAlign val="subscript"/>
        <sz val="11"/>
        <color theme="1"/>
        <rFont val="Aptos Narrow"/>
        <family val="2"/>
        <scheme val="minor"/>
      </rPr>
      <t>W3</t>
    </r>
  </si>
  <si>
    <r>
      <t>S</t>
    </r>
    <r>
      <rPr>
        <vertAlign val="subscript"/>
        <sz val="11"/>
        <color theme="1"/>
        <rFont val="Aptos Narrow"/>
        <family val="2"/>
        <scheme val="minor"/>
      </rPr>
      <t>B3</t>
    </r>
  </si>
  <si>
    <r>
      <t>S</t>
    </r>
    <r>
      <rPr>
        <vertAlign val="subscript"/>
        <sz val="11"/>
        <color theme="1"/>
        <rFont val="Aptos Narrow"/>
        <family val="2"/>
        <scheme val="minor"/>
      </rPr>
      <t>W2</t>
    </r>
  </si>
  <si>
    <r>
      <t>S</t>
    </r>
    <r>
      <rPr>
        <vertAlign val="subscript"/>
        <sz val="11"/>
        <color theme="1"/>
        <rFont val="Aptos Narrow"/>
        <family val="2"/>
        <scheme val="minor"/>
      </rPr>
      <t>B2</t>
    </r>
  </si>
  <si>
    <r>
      <t>S</t>
    </r>
    <r>
      <rPr>
        <vertAlign val="subscript"/>
        <sz val="11"/>
        <color theme="1"/>
        <rFont val="Aptos Narrow"/>
        <family val="2"/>
        <scheme val="minor"/>
      </rPr>
      <t>W1</t>
    </r>
  </si>
  <si>
    <r>
      <t>S</t>
    </r>
    <r>
      <rPr>
        <vertAlign val="subscript"/>
        <sz val="11"/>
        <color theme="1"/>
        <rFont val="Aptos Narrow"/>
        <family val="2"/>
        <scheme val="minor"/>
      </rPr>
      <t>B1</t>
    </r>
  </si>
  <si>
    <t>Within Class Matrices</t>
  </si>
  <si>
    <t>Between Class Matrices</t>
  </si>
  <si>
    <t>All Sites</t>
  </si>
  <si>
    <t>samples</t>
  </si>
  <si>
    <t>Each site</t>
  </si>
  <si>
    <t>Site D</t>
  </si>
  <si>
    <t>Between class matrix</t>
  </si>
  <si>
    <t>Site C</t>
  </si>
  <si>
    <r>
      <t>m</t>
    </r>
    <r>
      <rPr>
        <vertAlign val="subscript"/>
        <sz val="11"/>
        <color theme="1"/>
        <rFont val="Symbol"/>
        <family val="1"/>
        <charset val="2"/>
      </rPr>
      <t>i</t>
    </r>
    <r>
      <rPr>
        <sz val="11"/>
        <color theme="1"/>
        <rFont val="Symbol"/>
        <family val="1"/>
        <charset val="2"/>
      </rPr>
      <t xml:space="preserve"> - m</t>
    </r>
    <r>
      <rPr>
        <vertAlign val="subscript"/>
        <sz val="11"/>
        <color theme="1"/>
        <rFont val="Symbol"/>
        <family val="1"/>
        <charset val="2"/>
      </rPr>
      <t>TOT</t>
    </r>
  </si>
  <si>
    <t>Distance of the means from central mean</t>
  </si>
  <si>
    <r>
      <t>d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</si>
  <si>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m</t>
    </r>
    <r>
      <rPr>
        <vertAlign val="subscript"/>
        <sz val="11"/>
        <color theme="1"/>
        <rFont val="Symbol"/>
        <family val="1"/>
        <charset val="2"/>
      </rPr>
      <t>TOT</t>
    </r>
  </si>
  <si>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scheme val="minor"/>
      </rPr>
      <t/>
    </r>
  </si>
  <si>
    <r>
      <t>d</t>
    </r>
    <r>
      <rPr>
        <vertAlign val="subscript"/>
        <sz val="11"/>
        <color theme="1"/>
        <rFont val="Aptos Narrow"/>
        <family val="2"/>
        <scheme val="minor"/>
      </rPr>
      <t>1</t>
    </r>
  </si>
  <si>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/>
    </r>
  </si>
  <si>
    <r>
      <t>Within Class Matrix S</t>
    </r>
    <r>
      <rPr>
        <vertAlign val="subscript"/>
        <sz val="11"/>
        <color theme="1"/>
        <rFont val="Aptos Narrow"/>
        <family val="2"/>
        <scheme val="minor"/>
      </rPr>
      <t>W</t>
    </r>
  </si>
  <si>
    <r>
      <t>Distances d</t>
    </r>
    <r>
      <rPr>
        <vertAlign val="subscript"/>
        <sz val="11"/>
        <color theme="1"/>
        <rFont val="Aptos Narrow"/>
        <family val="2"/>
        <scheme val="minor"/>
      </rPr>
      <t>i</t>
    </r>
    <r>
      <rPr>
        <sz val="11"/>
        <color theme="1"/>
        <rFont val="Aptos Narrow"/>
        <family val="2"/>
        <scheme val="minor"/>
      </rPr>
      <t xml:space="preserve"> of x</t>
    </r>
    <r>
      <rPr>
        <vertAlign val="subscript"/>
        <sz val="11"/>
        <color theme="1"/>
        <rFont val="Aptos Narrow"/>
        <family val="2"/>
        <scheme val="minor"/>
      </rPr>
      <t>i</t>
    </r>
    <r>
      <rPr>
        <sz val="11"/>
        <color theme="1"/>
        <rFont val="Aptos Narrow"/>
        <family val="2"/>
        <scheme val="minor"/>
      </rPr>
      <t xml:space="preserve"> from </t>
    </r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</rPr>
      <t>i</t>
    </r>
  </si>
  <si>
    <t>y = x q</t>
  </si>
  <si>
    <t>Class independent method</t>
  </si>
  <si>
    <t>Common calcs</t>
  </si>
  <si>
    <t>RED means: Highlight the range, type formula, then press CTRL+D+ENTER</t>
  </si>
  <si>
    <t>Const.</t>
  </si>
  <si>
    <t>LDF coefficients</t>
  </si>
  <si>
    <t>Select Site for the new sample to belong to</t>
  </si>
  <si>
    <t>Pooled covariance matrix S</t>
  </si>
  <si>
    <t>Likelihood of classification</t>
  </si>
  <si>
    <t>% Missed</t>
  </si>
  <si>
    <t>% Correct</t>
  </si>
  <si>
    <t>Total</t>
  </si>
  <si>
    <t>Correct</t>
  </si>
  <si>
    <t>Missclassified</t>
  </si>
  <si>
    <t>Linear score for new sample</t>
  </si>
  <si>
    <t>New Sample</t>
  </si>
  <si>
    <t>Classification table  (Confusion table)</t>
  </si>
  <si>
    <t>Prediction</t>
  </si>
  <si>
    <t>Orig.</t>
  </si>
  <si>
    <t>ln p</t>
  </si>
  <si>
    <t>p</t>
  </si>
  <si>
    <t>Model estimates using LDS and raw data</t>
  </si>
  <si>
    <t>Probabilities</t>
  </si>
  <si>
    <t>Box Test</t>
  </si>
  <si>
    <t>const</t>
  </si>
  <si>
    <t>Summary Table</t>
  </si>
  <si>
    <t>Coefficients</t>
  </si>
  <si>
    <t>LN(prob)</t>
  </si>
  <si>
    <t>prob</t>
  </si>
  <si>
    <t>Categorization of Training Data</t>
  </si>
  <si>
    <t>Classification Table</t>
  </si>
  <si>
    <t>Priors</t>
  </si>
  <si>
    <t>Linear Discriminant Analysis</t>
  </si>
  <si>
    <t>Probabilities p</t>
  </si>
  <si>
    <t>Quadratic Discriminant Analysis</t>
  </si>
  <si>
    <r>
      <t>S</t>
    </r>
    <r>
      <rPr>
        <vertAlign val="superscript"/>
        <sz val="11"/>
        <color theme="1"/>
        <rFont val="Aptos Narrow"/>
        <family val="2"/>
        <scheme val="minor"/>
      </rPr>
      <t>-1</t>
    </r>
  </si>
  <si>
    <t>Covar matrix S</t>
  </si>
  <si>
    <r>
      <t>x</t>
    </r>
    <r>
      <rPr>
        <vertAlign val="subscript"/>
        <sz val="11"/>
        <color theme="1"/>
        <rFont val="Aptos Narrow"/>
        <family val="2"/>
        <scheme val="minor"/>
      </rPr>
      <t>NEW</t>
    </r>
    <r>
      <rPr>
        <sz val="11"/>
        <color theme="1"/>
        <rFont val="Aptos Narrow"/>
        <family val="2"/>
        <scheme val="minor"/>
      </rPr>
      <t xml:space="preserve"> - </t>
    </r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Symbol"/>
        <family val="1"/>
        <charset val="2"/>
      </rPr>
      <t>4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</si>
  <si>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NEW</t>
    </r>
    <r>
      <rPr>
        <sz val="11"/>
        <color theme="1"/>
        <rFont val="Aptos Narrow"/>
        <family val="2"/>
        <scheme val="minor"/>
      </rPr>
      <t xml:space="preserve"> - </t>
    </r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Symbol"/>
        <family val="1"/>
        <charset val="2"/>
      </rPr>
      <t>3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</si>
  <si>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NEW</t>
    </r>
    <r>
      <rPr>
        <sz val="11"/>
        <color theme="1"/>
        <rFont val="Aptos Narrow"/>
        <family val="2"/>
        <scheme val="minor"/>
      </rPr>
      <t xml:space="preserve"> - </t>
    </r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Symbol"/>
        <family val="1"/>
        <charset val="2"/>
      </rPr>
      <t>2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</si>
  <si>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NEW</t>
    </r>
    <r>
      <rPr>
        <sz val="11"/>
        <color theme="1"/>
        <rFont val="Aptos Narrow"/>
        <family val="2"/>
        <scheme val="minor"/>
      </rPr>
      <t xml:space="preserve"> - </t>
    </r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Symbol"/>
        <family val="1"/>
        <charset val="2"/>
      </rPr>
      <t>1</t>
    </r>
  </si>
  <si>
    <t>Differences between New Sample and group means</t>
  </si>
  <si>
    <t>*Smallest distance</t>
  </si>
  <si>
    <t>Mahalanobis distance from groups</t>
  </si>
  <si>
    <t>New sample</t>
  </si>
  <si>
    <r>
      <rPr>
        <sz val="11"/>
        <color theme="1"/>
        <rFont val="Symbol"/>
        <family val="1"/>
        <charset val="2"/>
      </rPr>
      <t>l</t>
    </r>
    <r>
      <rPr>
        <vertAlign val="subscript"/>
        <sz val="11"/>
        <color theme="1"/>
        <rFont val="Aptos Narrow"/>
        <family val="2"/>
      </rPr>
      <t>3</t>
    </r>
    <r>
      <rPr>
        <sz val="11"/>
        <color theme="1"/>
        <rFont val="Aptos Narrow"/>
        <family val="2"/>
        <scheme val="minor"/>
      </rPr>
      <t/>
    </r>
  </si>
  <si>
    <r>
      <t>reject H</t>
    </r>
    <r>
      <rPr>
        <vertAlign val="subscript"/>
        <sz val="11"/>
        <color theme="1"/>
        <rFont val="Aptos Narrow"/>
        <family val="2"/>
        <scheme val="minor"/>
      </rPr>
      <t>0</t>
    </r>
    <r>
      <rPr>
        <sz val="11"/>
        <color theme="1"/>
        <rFont val="Aptos Narrow"/>
        <family val="2"/>
        <scheme val="minor"/>
      </rPr>
      <t xml:space="preserve">, also, p=0.38 &gt; 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Aptos Narrow"/>
        <family val="2"/>
      </rPr>
      <t>=0.05</t>
    </r>
  </si>
  <si>
    <r>
      <rPr>
        <sz val="11"/>
        <color theme="1"/>
        <rFont val="Symbol"/>
        <family val="1"/>
        <charset val="2"/>
      </rPr>
      <t>l</t>
    </r>
    <r>
      <rPr>
        <vertAlign val="subscript"/>
        <sz val="11"/>
        <color theme="1"/>
        <rFont val="Aptos Narrow"/>
        <family val="2"/>
      </rPr>
      <t>2</t>
    </r>
  </si>
  <si>
    <r>
      <t>As F=1.11 &lt; F</t>
    </r>
    <r>
      <rPr>
        <vertAlign val="subscript"/>
        <sz val="11"/>
        <color theme="1"/>
        <rFont val="Aptos Narrow"/>
        <family val="2"/>
        <scheme val="minor"/>
      </rPr>
      <t>CRIT</t>
    </r>
    <r>
      <rPr>
        <sz val="11"/>
        <color theme="1"/>
        <rFont val="Aptos Narrow"/>
        <family val="2"/>
        <scheme val="minor"/>
      </rPr>
      <t>=2.17 we cannot</t>
    </r>
  </si>
  <si>
    <r>
      <rPr>
        <sz val="11"/>
        <color theme="1"/>
        <rFont val="Symbol"/>
        <family val="1"/>
        <charset val="2"/>
      </rPr>
      <t>l</t>
    </r>
    <r>
      <rPr>
        <vertAlign val="subscript"/>
        <sz val="11"/>
        <color theme="1"/>
        <rFont val="Aptos Narrow"/>
        <family val="2"/>
      </rPr>
      <t>1</t>
    </r>
  </si>
  <si>
    <t>P-value</t>
  </si>
  <si>
    <t>% of between-group variance</t>
  </si>
  <si>
    <r>
      <t xml:space="preserve">Back to </t>
    </r>
    <r>
      <rPr>
        <sz val="11"/>
        <color theme="1"/>
        <rFont val="Symbol"/>
        <family val="1"/>
        <charset val="2"/>
      </rPr>
      <t>l</t>
    </r>
  </si>
  <si>
    <t>F-crit</t>
  </si>
  <si>
    <t>α</t>
  </si>
  <si>
    <r>
      <t>df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= ab - c</t>
    </r>
  </si>
  <si>
    <r>
      <rPr>
        <sz val="11"/>
        <color theme="1"/>
        <rFont val="Symbol"/>
        <family val="1"/>
        <charset val="2"/>
      </rPr>
      <t>r</t>
    </r>
    <r>
      <rPr>
        <vertAlign val="subscript"/>
        <sz val="11"/>
        <color theme="1"/>
        <rFont val="Aptos Narrow"/>
        <family val="2"/>
      </rPr>
      <t>3</t>
    </r>
    <r>
      <rPr>
        <sz val="11"/>
        <color theme="1"/>
        <rFont val="Aptos Narrow"/>
        <family val="2"/>
        <scheme val="minor"/>
      </rPr>
      <t/>
    </r>
  </si>
  <si>
    <r>
      <t>df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= k(m-1)</t>
    </r>
  </si>
  <si>
    <r>
      <rPr>
        <sz val="11"/>
        <color theme="1"/>
        <rFont val="Symbol"/>
        <family val="1"/>
        <charset val="2"/>
      </rPr>
      <t>r</t>
    </r>
    <r>
      <rPr>
        <vertAlign val="subscript"/>
        <sz val="11"/>
        <color theme="1"/>
        <rFont val="Aptos Narrow"/>
        <family val="2"/>
      </rPr>
      <t>2</t>
    </r>
  </si>
  <si>
    <r>
      <rPr>
        <sz val="11"/>
        <color theme="1"/>
        <rFont val="Symbol"/>
        <family val="1"/>
        <charset val="2"/>
      </rPr>
      <t>r</t>
    </r>
    <r>
      <rPr>
        <vertAlign val="subscript"/>
        <sz val="11"/>
        <color theme="1"/>
        <rFont val="Aptos Narrow"/>
        <family val="2"/>
      </rPr>
      <t>1</t>
    </r>
  </si>
  <si>
    <r>
      <t>Λ</t>
    </r>
    <r>
      <rPr>
        <vertAlign val="superscript"/>
        <sz val="11"/>
        <color theme="1"/>
        <rFont val="Aptos Narrow"/>
        <family val="2"/>
        <scheme val="minor"/>
      </rPr>
      <t xml:space="preserve">-1/b </t>
    </r>
    <r>
      <rPr>
        <sz val="11"/>
        <color theme="1"/>
        <rFont val="Aptos Narrow"/>
        <family val="2"/>
        <scheme val="minor"/>
      </rPr>
      <t>- 1</t>
    </r>
  </si>
  <si>
    <t>Wilk's Lambda</t>
  </si>
  <si>
    <r>
      <rPr>
        <sz val="11"/>
        <color theme="1"/>
        <rFont val="Symbol"/>
        <family val="1"/>
        <charset val="2"/>
      </rPr>
      <t>r</t>
    </r>
    <r>
      <rPr>
        <vertAlign val="superscript"/>
        <sz val="11"/>
        <color theme="1"/>
        <rFont val="Aptos Narrow"/>
        <family val="2"/>
      </rPr>
      <t>2</t>
    </r>
  </si>
  <si>
    <t>with groups</t>
  </si>
  <si>
    <t>Otherwise</t>
  </si>
  <si>
    <t>1,</t>
  </si>
  <si>
    <t>Λ</t>
  </si>
  <si>
    <t>Canonical correlations</t>
  </si>
  <si>
    <t xml:space="preserve">b = </t>
  </si>
  <si>
    <t>c</t>
  </si>
  <si>
    <r>
      <t>k</t>
    </r>
    <r>
      <rPr>
        <i/>
        <vertAlign val="superscript"/>
        <sz val="11"/>
        <color theme="1"/>
        <rFont val="Aptos Narrow"/>
        <family val="2"/>
        <scheme val="minor"/>
      </rPr>
      <t>2</t>
    </r>
    <r>
      <rPr>
        <i/>
        <sz val="11"/>
        <color theme="1"/>
        <rFont val="Aptos Narrow"/>
        <family val="2"/>
        <scheme val="minor"/>
      </rPr>
      <t xml:space="preserve"> + (m-1)</t>
    </r>
    <r>
      <rPr>
        <i/>
        <vertAlign val="superscript"/>
        <sz val="11"/>
        <color theme="1"/>
        <rFont val="Aptos Narrow"/>
        <family val="2"/>
        <scheme val="minor"/>
      </rPr>
      <t>2</t>
    </r>
    <r>
      <rPr>
        <i/>
        <sz val="11"/>
        <color theme="1"/>
        <rFont val="Aptos Narrow"/>
        <family val="2"/>
        <scheme val="minor"/>
      </rPr>
      <t xml:space="preserve"> - 5 &gt; 0</t>
    </r>
  </si>
  <si>
    <t>b</t>
  </si>
  <si>
    <t>b-denom</t>
  </si>
  <si>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  <scheme val="minor"/>
      </rPr>
      <t>D</t>
    </r>
  </si>
  <si>
    <t>b-numer</t>
  </si>
  <si>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  <scheme val="minor"/>
      </rPr>
      <t>C</t>
    </r>
  </si>
  <si>
    <t>a</t>
  </si>
  <si>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  <scheme val="minor"/>
      </rPr>
      <t>B</t>
    </r>
  </si>
  <si>
    <t>m</t>
  </si>
  <si>
    <r>
      <rPr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Aptos Narrow"/>
        <family val="2"/>
        <scheme val="minor"/>
      </rPr>
      <t>A</t>
    </r>
  </si>
  <si>
    <t>k</t>
  </si>
  <si>
    <t>CN. 3</t>
  </si>
  <si>
    <t>CN. 2</t>
  </si>
  <si>
    <t>CN. 1</t>
  </si>
  <si>
    <t>n</t>
  </si>
  <si>
    <t>canonical space</t>
  </si>
  <si>
    <t>Correl between variables and canonical variates</t>
  </si>
  <si>
    <t>Group centroids in</t>
  </si>
  <si>
    <t>Wilk's Lambda Test</t>
  </si>
  <si>
    <t>Structure matrix</t>
  </si>
  <si>
    <t>Canonical scores</t>
  </si>
  <si>
    <t>SSE</t>
  </si>
  <si>
    <t>Count</t>
  </si>
  <si>
    <t>Cluster</t>
  </si>
  <si>
    <t>Cluster centroids</t>
  </si>
  <si>
    <t>Ele. 4</t>
  </si>
  <si>
    <t>New Cluster</t>
  </si>
  <si>
    <t>Min</t>
  </si>
  <si>
    <t>Row Mean</t>
  </si>
  <si>
    <t>Centrd. 4</t>
  </si>
  <si>
    <t>Centrd. 3</t>
  </si>
  <si>
    <t>Centrd. 2</t>
  </si>
  <si>
    <t>Centrd. 1</t>
  </si>
  <si>
    <t>Cluster 4</t>
  </si>
  <si>
    <t>Cluster 3</t>
  </si>
  <si>
    <t>Cluster 2</t>
  </si>
  <si>
    <t>Cluster 1</t>
  </si>
  <si>
    <t>Distances</t>
  </si>
  <si>
    <t>Standardised</t>
  </si>
  <si>
    <t>Initial</t>
  </si>
  <si>
    <t>Raw Data</t>
  </si>
  <si>
    <t>After Solver</t>
  </si>
  <si>
    <t>Before Solver</t>
  </si>
  <si>
    <t>Error</t>
  </si>
  <si>
    <t>Converge</t>
  </si>
  <si>
    <t># of iter</t>
  </si>
  <si>
    <t>N/A</t>
  </si>
  <si>
    <t># of runs</t>
  </si>
  <si>
    <t>Minkowski p</t>
  </si>
  <si>
    <t># of clusters</t>
  </si>
  <si>
    <t>X 4</t>
  </si>
  <si>
    <t>X 3</t>
  </si>
  <si>
    <t>X 2</t>
  </si>
  <si>
    <t>X 1</t>
  </si>
  <si>
    <t>Dist^p</t>
  </si>
  <si>
    <t>Centroid</t>
  </si>
  <si>
    <t>clusters</t>
  </si>
  <si>
    <t>2=Euclidean distance</t>
  </si>
  <si>
    <t>(same as column I)</t>
  </si>
  <si>
    <t>Min dist.</t>
  </si>
  <si>
    <t>Min. dist.</t>
  </si>
  <si>
    <t>Clusters</t>
  </si>
  <si>
    <t>OR</t>
  </si>
  <si>
    <t>Distances from centroids</t>
  </si>
  <si>
    <t>Centroids for clusters 1 to 4</t>
  </si>
  <si>
    <t>Disimilarities</t>
  </si>
  <si>
    <r>
      <t>J=I-(1/n)11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</si>
  <si>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1/3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1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1</t>
    </r>
    <r>
      <rPr>
        <vertAlign val="superscript"/>
        <sz val="11"/>
        <color theme="1"/>
        <rFont val="Aptos Narrow"/>
        <family val="2"/>
        <scheme val="minor"/>
      </rPr>
      <t>T</t>
    </r>
  </si>
  <si>
    <t>Similarities</t>
  </si>
  <si>
    <t>1-1/3</t>
  </si>
  <si>
    <t>-1/n elsewhere</t>
  </si>
  <si>
    <t>1/3</t>
  </si>
  <si>
    <t>(1-1/n) on diagonal</t>
  </si>
  <si>
    <r>
      <t xml:space="preserve">1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>1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  <scheme val="minor"/>
      </rPr>
      <t xml:space="preserve"> Outer product</t>
    </r>
  </si>
  <si>
    <t>Vect (1)</t>
  </si>
  <si>
    <r>
      <t>D</t>
    </r>
    <r>
      <rPr>
        <vertAlign val="superscript"/>
        <sz val="11"/>
        <color theme="1"/>
        <rFont val="Aptos Narrow"/>
        <family val="2"/>
        <scheme val="minor"/>
      </rPr>
      <t>2</t>
    </r>
  </si>
  <si>
    <t>Large value indicates greater dissimilarity</t>
  </si>
  <si>
    <t>The smaller the value, the more similar objects are</t>
  </si>
  <si>
    <t>RULE:</t>
  </si>
  <si>
    <t>P4 and P1 similar to P3 to P1; P4 and P3 very similar (small distance)</t>
  </si>
  <si>
    <t>Every row is a column mean</t>
  </si>
  <si>
    <t>P3 and P1 very dissimilar (large dissimilarity)</t>
  </si>
  <si>
    <r>
      <t>1 (1/n)1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</t>
    </r>
  </si>
  <si>
    <t>P2 and P1 very similar (small dissimilarity, or small distance)</t>
  </si>
  <si>
    <r>
      <t>B=-1/2 J D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J</t>
    </r>
  </si>
  <si>
    <t>Identity matrix I</t>
  </si>
  <si>
    <t>D</t>
  </si>
  <si>
    <t>Distance</t>
  </si>
  <si>
    <t>Column means</t>
  </si>
  <si>
    <r>
      <t>This means: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= -1/2 J D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J</t>
    </r>
  </si>
  <si>
    <r>
      <t>(1/n)1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</t>
    </r>
  </si>
  <si>
    <t>Column sums</t>
  </si>
  <si>
    <r>
      <t>1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</si>
  <si>
    <t>Distance examples</t>
  </si>
  <si>
    <t>NOTES:</t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</si>
  <si>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= B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</si>
  <si>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</si>
  <si>
    <t>Raw</t>
  </si>
  <si>
    <t>Stress</t>
  </si>
  <si>
    <t>SUM</t>
  </si>
  <si>
    <t>P6-P5</t>
  </si>
  <si>
    <t>P6-P4</t>
  </si>
  <si>
    <t>P5-P4</t>
  </si>
  <si>
    <t>P6-P3</t>
  </si>
  <si>
    <t>P5-P3</t>
  </si>
  <si>
    <t>P4-P3</t>
  </si>
  <si>
    <t>P6-P2</t>
  </si>
  <si>
    <t>P5-P2</t>
  </si>
  <si>
    <t>Eigens</t>
  </si>
  <si>
    <t>P4-P2</t>
  </si>
  <si>
    <t>P3-P2</t>
  </si>
  <si>
    <t>P6-P1</t>
  </si>
  <si>
    <t>P5-P1</t>
  </si>
  <si>
    <t>P4-P1</t>
  </si>
  <si>
    <t>P3-P1</t>
  </si>
  <si>
    <t>P2-P1</t>
  </si>
  <si>
    <t>Diff</t>
  </si>
  <si>
    <t>MDS dist</t>
  </si>
  <si>
    <t>Orig dist.</t>
  </si>
  <si>
    <r>
      <t>B=X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</si>
  <si>
    <t>Dissimilarity matrix D</t>
  </si>
  <si>
    <t>meaning that when they like M1 and M2, they really hate M3 and M4, and other way round</t>
  </si>
  <si>
    <t>P1 very low in Dim 1 and in Dim 2 meaning</t>
  </si>
  <si>
    <t xml:space="preserve">P4 dominant in Dim 2 and very high in Dim 1 meaning </t>
  </si>
  <si>
    <t>Dim 2 (shows within cluster variations)</t>
  </si>
  <si>
    <t>Two Dims explain 98% of all variations</t>
  </si>
  <si>
    <t>Positive P3, P4 and P6 mean lower marks for M1 and M2 and higher for M3 and M4</t>
  </si>
  <si>
    <t>Negative P1, P2 and P5 mean higher marks for M1 and M2 and lower for M3 and M4</t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</si>
  <si>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Cum</t>
    </r>
  </si>
  <si>
    <t>Dim 1 (separates the clusters)</t>
  </si>
  <si>
    <t>Dim 2</t>
  </si>
  <si>
    <t>Dim 1</t>
  </si>
  <si>
    <r>
      <t>Centre X</t>
    </r>
    <r>
      <rPr>
        <vertAlign val="subscript"/>
        <sz val="11"/>
        <color theme="1"/>
        <rFont val="Aptos Narrow"/>
        <family val="2"/>
        <scheme val="minor"/>
      </rPr>
      <t>C</t>
    </r>
  </si>
  <si>
    <t>I</t>
  </si>
  <si>
    <r>
      <t>1/6 1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  <scheme val="minor"/>
      </rPr>
      <t>1</t>
    </r>
    <r>
      <rPr>
        <vertAlign val="superscript"/>
        <sz val="11"/>
        <color theme="1"/>
        <rFont val="Aptos Narrow"/>
        <family val="2"/>
        <scheme val="minor"/>
      </rPr>
      <t>T</t>
    </r>
  </si>
  <si>
    <t>vect(1)</t>
  </si>
  <si>
    <t>E</t>
  </si>
  <si>
    <t>Bland</t>
  </si>
  <si>
    <t>Sweet</t>
  </si>
  <si>
    <t>B</t>
  </si>
  <si>
    <t>Salty</t>
  </si>
  <si>
    <t>A</t>
  </si>
  <si>
    <t>Principal coordinates</t>
  </si>
  <si>
    <t>Standard</t>
  </si>
  <si>
    <t>Std coordinates Unweighted V</t>
  </si>
  <si>
    <t>Standard coordinates Unweighted U</t>
  </si>
  <si>
    <t>Eigenvalues   %</t>
  </si>
  <si>
    <t>SVD, V of Standardised Residuals</t>
  </si>
  <si>
    <r>
      <t xml:space="preserve">SVD, 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  <scheme val="minor"/>
      </rPr>
      <t xml:space="preserve"> of Standardised Residuals</t>
    </r>
  </si>
  <si>
    <t>Indexed Residuals</t>
  </si>
  <si>
    <t>Expected</t>
  </si>
  <si>
    <t>Column masses</t>
  </si>
  <si>
    <t>Correl/</t>
  </si>
  <si>
    <t>Brand</t>
  </si>
  <si>
    <r>
      <t xml:space="preserve">Total inertia as </t>
    </r>
    <r>
      <rPr>
        <sz val="11"/>
        <color theme="1"/>
        <rFont val="Symbol"/>
        <family val="1"/>
        <charset val="2"/>
      </rPr>
      <t>Sl</t>
    </r>
    <r>
      <rPr>
        <sz val="11"/>
        <color theme="1"/>
        <rFont val="Aptos Narrow"/>
        <family val="2"/>
      </rPr>
      <t xml:space="preserve"> or </t>
    </r>
  </si>
  <si>
    <t>SVD, U of Standardised Residuals</t>
  </si>
  <si>
    <t>Standardised Residuals S</t>
  </si>
  <si>
    <t>Residuals</t>
  </si>
  <si>
    <t>Row masses</t>
  </si>
  <si>
    <t>Observed</t>
  </si>
  <si>
    <t>Atributes</t>
  </si>
  <si>
    <t>Column inertia</t>
  </si>
  <si>
    <t>Column mass</t>
  </si>
  <si>
    <t>Distance between column profiles (similarities)</t>
  </si>
  <si>
    <t>Column profile</t>
  </si>
  <si>
    <t>Row inertia</t>
  </si>
  <si>
    <t>Row mass (row sum/grand total)</t>
  </si>
  <si>
    <t>Distance between row profiles (similarities)</t>
  </si>
  <si>
    <t>Avrg row profile</t>
  </si>
  <si>
    <t>Row profiles</t>
  </si>
  <si>
    <t>One line</t>
  </si>
  <si>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Aptos Narrow"/>
        <family val="2"/>
      </rPr>
      <t xml:space="preserve"> deg.= </t>
    </r>
  </si>
  <si>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Aptos Narrow"/>
        <family val="2"/>
      </rPr>
      <t xml:space="preserve"> rad.=</t>
    </r>
  </si>
  <si>
    <r>
      <t xml:space="preserve">cos </t>
    </r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Aptos Narrow"/>
        <family val="2"/>
      </rPr>
      <t xml:space="preserve"> =</t>
    </r>
  </si>
  <si>
    <t>Principal coordinates, i.e. Singular value scaled singular vectors (Column isometric scaling)</t>
  </si>
  <si>
    <t>degrees</t>
  </si>
  <si>
    <r>
      <t>x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 xml:space="preserve"> y</t>
    </r>
    <r>
      <rPr>
        <sz val="11"/>
        <color theme="1"/>
        <rFont val="Aptos Narrow"/>
        <family val="2"/>
        <scheme val="minor"/>
      </rPr>
      <t xml:space="preserve"> =</t>
    </r>
  </si>
  <si>
    <t>y</t>
  </si>
  <si>
    <t>Observed P</t>
  </si>
  <si>
    <t>x</t>
  </si>
  <si>
    <t>U</t>
  </si>
  <si>
    <r>
      <t>Diagonal row weights W</t>
    </r>
    <r>
      <rPr>
        <vertAlign val="subscript"/>
        <sz val="11"/>
        <color theme="1"/>
        <rFont val="Aptos Narrow"/>
        <family val="2"/>
        <scheme val="minor"/>
      </rPr>
      <t>n</t>
    </r>
  </si>
  <si>
    <t>Coordinates</t>
  </si>
  <si>
    <t>Principal coordinates i.e. Singular value scaled singular vectors (Row isometric scaling)</t>
  </si>
  <si>
    <t>Total inertia</t>
  </si>
  <si>
    <t>Principal intertia</t>
  </si>
  <si>
    <r>
      <t xml:space="preserve">Eigenvalues </t>
    </r>
    <r>
      <rPr>
        <sz val="11"/>
        <color theme="1"/>
        <rFont val="Symbol"/>
        <family val="1"/>
        <charset val="2"/>
      </rPr>
      <t>l</t>
    </r>
  </si>
  <si>
    <t>Standard coordinates</t>
  </si>
  <si>
    <t>S</t>
  </si>
  <si>
    <r>
      <t>Diagonal column weights W</t>
    </r>
    <r>
      <rPr>
        <vertAlign val="subscript"/>
        <sz val="11"/>
        <color theme="1"/>
        <rFont val="Aptos Narrow"/>
        <family val="2"/>
        <scheme val="minor"/>
      </rPr>
      <t>m</t>
    </r>
  </si>
  <si>
    <t>1 vector</t>
  </si>
  <si>
    <t>CTR 2</t>
  </si>
  <si>
    <t>CTR 1</t>
  </si>
  <si>
    <t>COR 2</t>
  </si>
  <si>
    <t>COR 1</t>
  </si>
  <si>
    <t>Factor 2</t>
  </si>
  <si>
    <t>Factor 1</t>
  </si>
  <si>
    <t>Inertia</t>
  </si>
  <si>
    <t>Mass</t>
  </si>
  <si>
    <t>Quality</t>
  </si>
  <si>
    <t>Plot Details for Columns</t>
  </si>
  <si>
    <t>cum %</t>
  </si>
  <si>
    <t>Combined Profiles</t>
  </si>
  <si>
    <t>Plot Details for Rows</t>
  </si>
  <si>
    <t>Proportional Matrix</t>
  </si>
  <si>
    <t>Correspondence Analysis</t>
  </si>
  <si>
    <t>Input matrix</t>
  </si>
  <si>
    <t>Target vector</t>
  </si>
  <si>
    <t>LINEST coefficients</t>
  </si>
  <si>
    <t>Reconstructed trajectory matrix</t>
  </si>
  <si>
    <t>K=</t>
  </si>
  <si>
    <t>L=</t>
  </si>
  <si>
    <t>N=</t>
  </si>
  <si>
    <t>Trajectory matrix</t>
  </si>
  <si>
    <t>Recon. Std</t>
  </si>
  <si>
    <t>AAPL - std</t>
  </si>
  <si>
    <t>Reconstruct.</t>
  </si>
  <si>
    <t>AAPL</t>
  </si>
  <si>
    <t>Trajectory matrix X</t>
  </si>
  <si>
    <t>3MA</t>
  </si>
  <si>
    <t>Errors</t>
  </si>
  <si>
    <t>Alt. coefficients</t>
  </si>
  <si>
    <t>Then</t>
  </si>
  <si>
    <t>ŷ</t>
  </si>
  <si>
    <t>As</t>
  </si>
  <si>
    <t>R</t>
  </si>
  <si>
    <t>X=QR</t>
  </si>
  <si>
    <t>ALTERNATIVE via SVD decomposition</t>
  </si>
  <si>
    <t>ALTERNATIVE via QR decomposition</t>
  </si>
  <si>
    <t>Ŷ</t>
  </si>
  <si>
    <r>
      <t xml:space="preserve">This matrix projects y onto the column of X, i.e. orthogonal projection of the data vector (X) onto predictor space </t>
    </r>
    <r>
      <rPr>
        <sz val="11"/>
        <color theme="1"/>
        <rFont val="Arial Narrow"/>
        <family val="2"/>
      </rPr>
      <t>ŷ</t>
    </r>
    <r>
      <rPr>
        <sz val="11"/>
        <color theme="1"/>
        <rFont val="Aptos Narrow"/>
        <family val="2"/>
      </rPr>
      <t>.</t>
    </r>
  </si>
  <si>
    <r>
      <t>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y</t>
    </r>
  </si>
  <si>
    <t>then P=</t>
  </si>
  <si>
    <t>If</t>
  </si>
  <si>
    <r>
      <t>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</t>
    </r>
  </si>
  <si>
    <t>x2</t>
  </si>
  <si>
    <t>x1</t>
  </si>
  <si>
    <t>Data</t>
  </si>
  <si>
    <r>
      <t xml:space="preserve">Errors </t>
    </r>
    <r>
      <rPr>
        <sz val="11"/>
        <color theme="1"/>
        <rFont val="Symbol"/>
        <family val="1"/>
        <charset val="2"/>
      </rPr>
      <t>e</t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</si>
  <si>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9.9"/>
        <color theme="1"/>
        <rFont val="Aptos Narrow"/>
        <family val="2"/>
      </rPr>
      <t>4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</si>
  <si>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9.9"/>
        <color theme="1"/>
        <rFont val="Aptos Narrow"/>
        <family val="2"/>
      </rPr>
      <t>3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</si>
  <si>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9.9"/>
        <color theme="1"/>
        <rFont val="Aptos Narrow"/>
        <family val="2"/>
      </rPr>
      <t>2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</si>
  <si>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9.9"/>
        <color theme="1"/>
        <rFont val="Aptos Narrow"/>
        <family val="2"/>
      </rPr>
      <t>1</t>
    </r>
    <r>
      <rPr>
        <sz val="11"/>
        <color theme="1"/>
        <rFont val="Aptos Narrow"/>
        <family val="2"/>
        <scheme val="minor"/>
      </rPr>
      <t/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</si>
  <si>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9.9"/>
        <color theme="1"/>
        <rFont val="Aptos Narrow"/>
        <family val="2"/>
      </rPr>
      <t>0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</si>
  <si>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scheme val="minor"/>
      </rPr>
      <t/>
    </r>
  </si>
  <si>
    <r>
      <t>x</t>
    </r>
    <r>
      <rPr>
        <vertAlign val="sub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/>
    </r>
  </si>
  <si>
    <r>
      <t>x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/>
    </r>
  </si>
  <si>
    <r>
      <t>x</t>
    </r>
    <r>
      <rPr>
        <vertAlign val="subscript"/>
        <sz val="11"/>
        <color theme="1"/>
        <rFont val="Aptos Narrow"/>
        <family val="2"/>
        <scheme val="minor"/>
      </rPr>
      <t>1</t>
    </r>
  </si>
  <si>
    <t>X Variable 4</t>
  </si>
  <si>
    <t>X Variable 3</t>
  </si>
  <si>
    <t>X Variable 2</t>
  </si>
  <si>
    <t>X Variable 1</t>
  </si>
  <si>
    <t>Intercept</t>
  </si>
  <si>
    <t>Upper 95.0%</t>
  </si>
  <si>
    <t>Lower 95.0%</t>
  </si>
  <si>
    <t>Upper 95%</t>
  </si>
  <si>
    <t>Lower 95%</t>
  </si>
  <si>
    <t>t Stat</t>
  </si>
  <si>
    <t>Standard Error</t>
  </si>
  <si>
    <t>Predicted Y</t>
  </si>
  <si>
    <t>Observation</t>
  </si>
  <si>
    <t>Residual</t>
  </si>
  <si>
    <t>RESIDUAL OUTPUT</t>
  </si>
  <si>
    <t>Regression</t>
  </si>
  <si>
    <t>Significance F</t>
  </si>
  <si>
    <t>MS</t>
  </si>
  <si>
    <t>SS</t>
  </si>
  <si>
    <t>df</t>
  </si>
  <si>
    <t>ANOVA</t>
  </si>
  <si>
    <t>Observations</t>
  </si>
  <si>
    <t>Adjusted R Square</t>
  </si>
  <si>
    <t>R Square</t>
  </si>
  <si>
    <t>Multiple R</t>
  </si>
  <si>
    <t>Regression Statistics</t>
  </si>
  <si>
    <t>SUMMARY OUTPUT</t>
  </si>
  <si>
    <r>
      <t>and x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orthogonal to x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>, divided by the variance of that orthogonalised x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.</t>
    </r>
  </si>
  <si>
    <r>
      <t>Effectively, the coefficient of x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(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>) is</t>
    </r>
    <r>
      <rPr>
        <sz val="11"/>
        <color theme="1"/>
        <rFont val="Aptos Narrow"/>
        <family val="2"/>
        <scheme val="minor"/>
      </rPr>
      <t xml:space="preserve"> the covariance between the parts of y </t>
    </r>
  </si>
  <si>
    <r>
      <t xml:space="preserve"> in y is explained by the remaining variation in x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</si>
  <si>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What remains is the unique effect of x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(Step 5), which is how much of the remaining variation</t>
    </r>
  </si>
  <si>
    <t>We regressed what remains (Step 4)</t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</si>
  <si>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1</t>
    </r>
    <r>
      <rPr>
        <sz val="11"/>
        <color theme="1"/>
        <rFont val="Aptos Narrow"/>
        <family val="2"/>
        <scheme val="minor"/>
      </rPr>
      <t/>
    </r>
  </si>
  <si>
    <r>
      <t>We removed the part of x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explained by x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(Step 3)</t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</si>
  <si>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0</t>
    </r>
  </si>
  <si>
    <r>
      <t>We removed the part of y explained by x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(Step 2)</t>
    </r>
  </si>
  <si>
    <r>
      <rPr>
        <sz val="11"/>
        <color theme="1"/>
        <rFont val="Symbol"/>
        <family val="1"/>
        <charset val="2"/>
      </rPr>
      <t>e</t>
    </r>
    <r>
      <rPr>
        <vertAlign val="subscript"/>
        <sz val="11"/>
        <color theme="1"/>
        <rFont val="Aptos Narrow"/>
        <family val="2"/>
      </rPr>
      <t>x2</t>
    </r>
  </si>
  <si>
    <r>
      <t>Regression of x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on x</t>
    </r>
    <r>
      <rPr>
        <vertAlign val="subscript"/>
        <sz val="11"/>
        <color theme="1"/>
        <rFont val="Aptos Narrow"/>
        <family val="2"/>
        <scheme val="minor"/>
      </rPr>
      <t>1</t>
    </r>
  </si>
  <si>
    <t>Explanation:</t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</si>
  <si>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(x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 xml:space="preserve"> coeffiecient) in Full </t>
    </r>
    <r>
      <rPr>
        <sz val="11"/>
        <color theme="1"/>
        <rFont val="Aptos Narrow"/>
        <family val="2"/>
        <scheme val="minor"/>
      </rPr>
      <t>Regression</t>
    </r>
  </si>
  <si>
    <t>Identical to:</t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</si>
  <si>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1</t>
    </r>
    <r>
      <rPr>
        <sz val="11"/>
        <color theme="1"/>
        <rFont val="Aptos Narrow"/>
        <family val="2"/>
      </rPr>
      <t xml:space="preserve"> (slope) of </t>
    </r>
    <r>
      <rPr>
        <sz val="11"/>
        <color theme="1"/>
        <rFont val="Aptos Narrow"/>
        <family val="2"/>
        <scheme val="minor"/>
      </rPr>
      <t>Regress e</t>
    </r>
    <r>
      <rPr>
        <vertAlign val="subscript"/>
        <sz val="11"/>
        <color theme="1"/>
        <rFont val="Aptos Narrow"/>
        <family val="2"/>
        <scheme val="minor"/>
      </rPr>
      <t>y</t>
    </r>
    <r>
      <rPr>
        <sz val="11"/>
        <color theme="1"/>
        <rFont val="Aptos Narrow"/>
        <family val="2"/>
        <scheme val="minor"/>
      </rPr>
      <t xml:space="preserve"> on e</t>
    </r>
    <r>
      <rPr>
        <vertAlign val="subscript"/>
        <sz val="11"/>
        <color theme="1"/>
        <rFont val="Aptos Narrow"/>
        <family val="2"/>
        <scheme val="minor"/>
      </rPr>
      <t>x2</t>
    </r>
  </si>
  <si>
    <r>
      <t>e</t>
    </r>
    <r>
      <rPr>
        <vertAlign val="subscript"/>
        <sz val="11"/>
        <color theme="1"/>
        <rFont val="Aptos Narrow"/>
        <family val="2"/>
        <scheme val="minor"/>
      </rPr>
      <t>y</t>
    </r>
  </si>
  <si>
    <r>
      <t>Regression of y on x</t>
    </r>
    <r>
      <rPr>
        <vertAlign val="subscript"/>
        <sz val="11"/>
        <color theme="1"/>
        <rFont val="Aptos Narrow"/>
        <family val="2"/>
        <scheme val="minor"/>
      </rPr>
      <t>1</t>
    </r>
    <r>
      <rPr>
        <sz val="11"/>
        <color theme="1"/>
        <rFont val="Aptos Narrow"/>
        <family val="2"/>
        <scheme val="minor"/>
      </rPr>
      <t xml:space="preserve"> only</t>
    </r>
  </si>
  <si>
    <r>
      <rPr>
        <sz val="11"/>
        <color theme="1"/>
        <rFont val="Arial Narrow"/>
        <family val="2"/>
      </rPr>
      <t>ŷ</t>
    </r>
    <r>
      <rPr>
        <sz val="11"/>
        <color theme="1"/>
        <rFont val="Aptos Narrow"/>
        <family val="2"/>
        <scheme val="minor"/>
      </rPr>
      <t xml:space="preserve"> = 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0</t>
    </r>
    <r>
      <rPr>
        <sz val="11"/>
        <color theme="1"/>
        <rFont val="Aptos Narrow"/>
        <family val="2"/>
        <scheme val="minor"/>
      </rPr>
      <t xml:space="preserve"> + 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Symbol"/>
        <family val="1"/>
        <charset val="2"/>
      </rPr>
      <t>1</t>
    </r>
    <r>
      <rPr>
        <sz val="11"/>
        <color theme="1"/>
        <rFont val="Aptos Narrow"/>
        <family val="2"/>
      </rPr>
      <t>x</t>
    </r>
    <r>
      <rPr>
        <vertAlign val="subscript"/>
        <sz val="11"/>
        <color theme="1"/>
        <rFont val="Aptos Narrow"/>
        <family val="2"/>
      </rPr>
      <t>1</t>
    </r>
  </si>
  <si>
    <t>SS Residuals</t>
  </si>
  <si>
    <t>SS Regression</t>
  </si>
  <si>
    <t>Deg. Of freedom</t>
  </si>
  <si>
    <t>F-value</t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</si>
  <si>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  <scheme val="minor"/>
      </rPr>
      <t/>
    </r>
  </si>
  <si>
    <t>Res. St Error</t>
  </si>
  <si>
    <r>
      <t>R</t>
    </r>
    <r>
      <rPr>
        <vertAlign val="superscript"/>
        <sz val="11"/>
        <color theme="1"/>
        <rFont val="Aptos Narrow"/>
        <family val="2"/>
        <scheme val="minor"/>
      </rPr>
      <t>2</t>
    </r>
  </si>
  <si>
    <r>
      <t xml:space="preserve">St Error 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  <scheme val="minor"/>
      </rPr>
      <t/>
    </r>
  </si>
  <si>
    <r>
      <t xml:space="preserve">St Error 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1</t>
    </r>
    <r>
      <rPr>
        <sz val="11"/>
        <color theme="1"/>
        <rFont val="Aptos Narrow"/>
        <family val="2"/>
        <scheme val="minor"/>
      </rPr>
      <t/>
    </r>
  </si>
  <si>
    <r>
      <t xml:space="preserve">St Error 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0</t>
    </r>
  </si>
  <si>
    <r>
      <t xml:space="preserve">Regress </t>
    </r>
    <r>
      <rPr>
        <sz val="11"/>
        <color theme="1"/>
        <rFont val="Symbol"/>
        <family val="1"/>
        <charset val="2"/>
      </rPr>
      <t>e</t>
    </r>
    <r>
      <rPr>
        <vertAlign val="subscript"/>
        <sz val="11"/>
        <color theme="1"/>
        <rFont val="Aptos Narrow"/>
        <family val="2"/>
      </rPr>
      <t>y</t>
    </r>
    <r>
      <rPr>
        <sz val="11"/>
        <color theme="1"/>
        <rFont val="Aptos Narrow"/>
        <family val="2"/>
      </rPr>
      <t xml:space="preserve"> on </t>
    </r>
    <r>
      <rPr>
        <sz val="11"/>
        <color theme="1"/>
        <rFont val="Symbol"/>
        <family val="1"/>
        <charset val="2"/>
      </rPr>
      <t>e</t>
    </r>
    <r>
      <rPr>
        <vertAlign val="subscript"/>
        <sz val="11"/>
        <color theme="1"/>
        <rFont val="Aptos Narrow"/>
        <family val="2"/>
      </rPr>
      <t>x2</t>
    </r>
  </si>
  <si>
    <t>Interpretation of =LINEST printout</t>
  </si>
  <si>
    <t>Full regression</t>
  </si>
  <si>
    <r>
      <t>x</t>
    </r>
    <r>
      <rPr>
        <vertAlign val="subscript"/>
        <sz val="11"/>
        <color theme="1"/>
        <rFont val="Aptos Narrow"/>
        <family val="2"/>
        <scheme val="minor"/>
      </rPr>
      <t>2</t>
    </r>
  </si>
  <si>
    <t>Standardised Data</t>
  </si>
  <si>
    <t>Cluster No.</t>
  </si>
  <si>
    <t>4=No. of clusters</t>
  </si>
  <si>
    <t>50=No. of repetitions</t>
  </si>
  <si>
    <t>200=No. of iterations per repetition</t>
  </si>
  <si>
    <t>W Factor scores coeff mtrx</t>
  </si>
  <si>
    <r>
      <t xml:space="preserve">W Factor scores coeff matrix: Bartlett's method single formula </t>
    </r>
    <r>
      <rPr>
        <i/>
        <sz val="11"/>
        <color theme="1"/>
        <rFont val="Aptos Narrow"/>
        <family val="2"/>
        <scheme val="minor"/>
      </rPr>
      <t>W</t>
    </r>
    <r>
      <rPr>
        <sz val="11"/>
        <color theme="1"/>
        <rFont val="Aptos Narrow"/>
        <family val="2"/>
        <scheme val="minor"/>
      </rPr>
      <t xml:space="preserve"> </t>
    </r>
    <r>
      <rPr>
        <i/>
        <sz val="11"/>
        <color theme="1"/>
        <rFont val="Aptos Narrow"/>
        <family val="2"/>
        <scheme val="minor"/>
      </rPr>
      <t>= (L</t>
    </r>
    <r>
      <rPr>
        <i/>
        <vertAlign val="superscript"/>
        <sz val="11"/>
        <color theme="1"/>
        <rFont val="Aptos Narrow"/>
        <family val="2"/>
        <scheme val="minor"/>
      </rPr>
      <t>T</t>
    </r>
    <r>
      <rPr>
        <i/>
        <sz val="11"/>
        <color theme="1"/>
        <rFont val="Symbol"/>
        <family val="1"/>
        <charset val="2"/>
      </rPr>
      <t>y</t>
    </r>
    <r>
      <rPr>
        <i/>
        <vertAlign val="superscript"/>
        <sz val="11"/>
        <color theme="1"/>
        <rFont val="Aptos Narrow"/>
        <family val="2"/>
        <scheme val="minor"/>
      </rPr>
      <t>-1</t>
    </r>
    <r>
      <rPr>
        <i/>
        <sz val="11"/>
        <color theme="1"/>
        <rFont val="Aptos Narrow"/>
        <family val="2"/>
        <scheme val="minor"/>
      </rPr>
      <t>L)</t>
    </r>
    <r>
      <rPr>
        <i/>
        <vertAlign val="superscript"/>
        <sz val="11"/>
        <color theme="1"/>
        <rFont val="Aptos Narrow"/>
        <family val="2"/>
        <scheme val="minor"/>
      </rPr>
      <t>-1</t>
    </r>
    <r>
      <rPr>
        <i/>
        <sz val="11"/>
        <color theme="1"/>
        <rFont val="Aptos Narrow"/>
        <family val="2"/>
        <scheme val="minor"/>
      </rPr>
      <t>L</t>
    </r>
    <r>
      <rPr>
        <i/>
        <vertAlign val="superscript"/>
        <sz val="11"/>
        <color theme="1"/>
        <rFont val="Aptos Narrow"/>
        <family val="2"/>
        <scheme val="minor"/>
      </rPr>
      <t>T</t>
    </r>
    <r>
      <rPr>
        <i/>
        <sz val="11"/>
        <color theme="1"/>
        <rFont val="Symbol"/>
        <family val="1"/>
        <charset val="2"/>
      </rPr>
      <t>y</t>
    </r>
    <r>
      <rPr>
        <i/>
        <vertAlign val="superscript"/>
        <sz val="11"/>
        <color theme="1"/>
        <rFont val="Aptos Narrow"/>
        <family val="2"/>
        <scheme val="minor"/>
      </rPr>
      <t>-1</t>
    </r>
  </si>
  <si>
    <r>
      <t>Column masses (weights) w</t>
    </r>
    <r>
      <rPr>
        <vertAlign val="subscript"/>
        <sz val="11"/>
        <color theme="1"/>
        <rFont val="Aptos Narrow"/>
        <family val="2"/>
        <scheme val="minor"/>
      </rPr>
      <t>n</t>
    </r>
  </si>
  <si>
    <r>
      <t>Row masses (weights) w</t>
    </r>
    <r>
      <rPr>
        <vertAlign val="subscript"/>
        <sz val="11"/>
        <color theme="1"/>
        <rFont val="Aptos Narrow"/>
        <family val="2"/>
        <scheme val="minor"/>
      </rPr>
      <t>m</t>
    </r>
  </si>
  <si>
    <r>
      <t>Standardised residuals S=W</t>
    </r>
    <r>
      <rPr>
        <vertAlign val="subscript"/>
        <sz val="11"/>
        <color theme="1"/>
        <rFont val="Aptos Narrow"/>
        <family val="2"/>
        <scheme val="minor"/>
      </rPr>
      <t>m</t>
    </r>
    <r>
      <rPr>
        <sz val="11"/>
        <color theme="1"/>
        <rFont val="Aptos Narrow"/>
        <family val="2"/>
        <scheme val="minor"/>
      </rPr>
      <t>(P-w</t>
    </r>
    <r>
      <rPr>
        <vertAlign val="subscript"/>
        <sz val="11"/>
        <color theme="1"/>
        <rFont val="Aptos Narrow"/>
        <family val="2"/>
        <scheme val="minor"/>
      </rPr>
      <t>m</t>
    </r>
    <r>
      <rPr>
        <sz val="11"/>
        <color theme="1"/>
        <rFont val="Aptos Narrow"/>
        <family val="2"/>
        <scheme val="minor"/>
      </rPr>
      <t>w</t>
    </r>
    <r>
      <rPr>
        <vertAlign val="subscript"/>
        <sz val="11"/>
        <color theme="1"/>
        <rFont val="Aptos Narrow"/>
        <family val="2"/>
        <scheme val="minor"/>
      </rPr>
      <t>n</t>
    </r>
    <r>
      <rPr>
        <sz val="11"/>
        <color theme="1"/>
        <rFont val="Aptos Narrow"/>
        <family val="2"/>
        <scheme val="minor"/>
      </rPr>
      <t>)W</t>
    </r>
    <r>
      <rPr>
        <vertAlign val="subscript"/>
        <sz val="11"/>
        <color theme="1"/>
        <rFont val="Aptos Narrow"/>
        <family val="2"/>
        <scheme val="minor"/>
      </rPr>
      <t>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</si>
</sst>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000"/>
    <numFmt numFmtId="165" formatCode="0.0000"/>
    <numFmt numFmtId="166" formatCode="0.000"/>
    <numFmt numFmtId="167" formatCode="0.0000000000000"/>
    <numFmt numFmtId="168" formatCode="0.000000"/>
    <numFmt numFmtId="169" formatCode="0.0%"/>
    <numFmt numFmtId="170" formatCode="0.0"/>
    <numFmt numFmtId="171" formatCode="0.00000000000000000"/>
    <numFmt numFmtId="172" formatCode="_([$$-409]* #,##0.00_);_([$$-409]* \(#,##0.00\);_([$$-409]* &quot;-&quot;??_);_(@_)"/>
    <numFmt numFmtId="173" formatCode="0.0E+00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ptos Narrow"/>
      <family val="2"/>
    </font>
    <font>
      <vertAlign val="superscript"/>
      <sz val="11"/>
      <color theme="1"/>
      <name val="Aptos Narrow"/>
      <family val="2"/>
    </font>
    <font>
      <vertAlign val="subscript"/>
      <sz val="11"/>
      <color theme="1"/>
      <name val="Aptos Narrow"/>
      <family val="2"/>
      <scheme val="minor"/>
    </font>
    <font>
      <sz val="11"/>
      <color theme="1"/>
      <name val="Aptos Narrow"/>
      <family val="1"/>
      <charset val="2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Aptos Narrow"/>
      <family val="1"/>
      <charset val="2"/>
      <scheme val="minor"/>
    </font>
    <font>
      <sz val="9.9"/>
      <color theme="1"/>
      <name val="Aptos Narrow"/>
      <family val="2"/>
    </font>
    <font>
      <sz val="9.9"/>
      <color theme="1"/>
      <name val="Symbol"/>
      <family val="1"/>
      <charset val="2"/>
    </font>
    <font>
      <b/>
      <sz val="18"/>
      <color theme="1"/>
      <name val="Aptos Narrow"/>
      <family val="2"/>
      <scheme val="minor"/>
    </font>
    <font>
      <vertAlign val="subscript"/>
      <sz val="11"/>
      <color theme="1"/>
      <name val="Aptos Narrow"/>
      <family val="2"/>
    </font>
    <font>
      <b/>
      <u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1"/>
      <name val="Symbol"/>
      <family val="1"/>
      <charset val="2"/>
    </font>
    <font>
      <i/>
      <vertAlign val="superscript"/>
      <sz val="11"/>
      <color theme="1"/>
      <name val="Aptos Narrow"/>
      <family val="2"/>
      <scheme val="minor"/>
    </font>
    <font>
      <i/>
      <vertAlign val="superscript"/>
      <sz val="11"/>
      <color theme="1"/>
      <name val="Aptos Narrow"/>
      <family val="2"/>
    </font>
    <font>
      <i/>
      <sz val="11"/>
      <color theme="1"/>
      <name val="Aptos Narrow"/>
      <family val="2"/>
    </font>
    <font>
      <sz val="11"/>
      <name val="Aptos Narrow"/>
      <family val="2"/>
    </font>
    <font>
      <sz val="11"/>
      <color theme="1"/>
      <name val="Symbol"/>
      <family val="2"/>
      <charset val="2"/>
    </font>
    <font>
      <vertAlign val="subscript"/>
      <sz val="11"/>
      <color theme="1"/>
      <name val="Symbol"/>
      <family val="1"/>
      <charset val="2"/>
    </font>
    <font>
      <sz val="11"/>
      <color theme="1"/>
      <name val="Calibri"/>
      <family val="2"/>
    </font>
    <font>
      <sz val="11"/>
      <color rgb="FF141413"/>
      <name val="Aptos Narrow"/>
      <family val="2"/>
      <scheme val="minor"/>
    </font>
    <font>
      <sz val="11"/>
      <color theme="1"/>
      <name val="Arial Narrow"/>
      <family val="2"/>
    </font>
    <font>
      <vertAlign val="subscript"/>
      <sz val="9.9"/>
      <color theme="1"/>
      <name val="Aptos Narrow"/>
      <family val="2"/>
    </font>
  </fonts>
  <fills count="2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8">
    <xf numFmtId="0" fontId="0" fillId="0" borderId="0" xfId="0"/>
    <xf numFmtId="0" fontId="4" fillId="0" borderId="0" xfId="0" applyFont="1"/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/>
    </xf>
    <xf numFmtId="0" fontId="0" fillId="0" borderId="4" xfId="0" applyBorder="1"/>
    <xf numFmtId="0" fontId="0" fillId="0" borderId="5" xfId="0" applyBorder="1"/>
    <xf numFmtId="0" fontId="9" fillId="0" borderId="0" xfId="0" applyFont="1"/>
    <xf numFmtId="0" fontId="5" fillId="0" borderId="0" xfId="0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2" borderId="0" xfId="0" applyFont="1" applyFill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quotePrefix="1"/>
    <xf numFmtId="2" fontId="0" fillId="0" borderId="0" xfId="0" applyNumberFormat="1"/>
    <xf numFmtId="0" fontId="11" fillId="0" borderId="0" xfId="0" applyFont="1"/>
    <xf numFmtId="0" fontId="3" fillId="0" borderId="0" xfId="0" applyFont="1"/>
    <xf numFmtId="165" fontId="0" fillId="0" borderId="0" xfId="0" applyNumberFormat="1"/>
    <xf numFmtId="166" fontId="0" fillId="0" borderId="0" xfId="0" applyNumberFormat="1" applyAlignment="1">
      <alignment horizontal="center"/>
    </xf>
    <xf numFmtId="166" fontId="0" fillId="0" borderId="0" xfId="0" applyNumberFormat="1"/>
    <xf numFmtId="2" fontId="0" fillId="0" borderId="0" xfId="0" applyNumberFormat="1" applyAlignment="1">
      <alignment horizontal="center"/>
    </xf>
    <xf numFmtId="166" fontId="0" fillId="0" borderId="1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5" xfId="0" applyNumberFormat="1" applyBorder="1" applyAlignment="1">
      <alignment horizontal="center"/>
    </xf>
    <xf numFmtId="166" fontId="0" fillId="0" borderId="6" xfId="0" applyNumberFormat="1" applyBorder="1" applyAlignment="1">
      <alignment horizontal="center"/>
    </xf>
    <xf numFmtId="166" fontId="0" fillId="0" borderId="7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166" fontId="0" fillId="0" borderId="9" xfId="0" applyNumberFormat="1" applyBorder="1" applyAlignment="1">
      <alignment horizontal="center"/>
    </xf>
    <xf numFmtId="166" fontId="0" fillId="0" borderId="10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2" fontId="0" fillId="3" borderId="12" xfId="0" applyNumberFormat="1" applyFill="1" applyBorder="1"/>
    <xf numFmtId="2" fontId="0" fillId="3" borderId="13" xfId="0" applyNumberFormat="1" applyFill="1" applyBorder="1"/>
    <xf numFmtId="2" fontId="0" fillId="3" borderId="14" xfId="0" applyNumberFormat="1" applyFill="1" applyBorder="1"/>
    <xf numFmtId="2" fontId="0" fillId="3" borderId="15" xfId="0" applyNumberFormat="1" applyFill="1" applyBorder="1"/>
    <xf numFmtId="2" fontId="0" fillId="3" borderId="0" xfId="0" applyNumberFormat="1" applyFill="1"/>
    <xf numFmtId="2" fontId="0" fillId="3" borderId="16" xfId="0" applyNumberFormat="1" applyFill="1" applyBorder="1"/>
    <xf numFmtId="166" fontId="0" fillId="4" borderId="0" xfId="0" applyNumberFormat="1" applyFill="1"/>
    <xf numFmtId="166" fontId="0" fillId="5" borderId="0" xfId="0" applyNumberFormat="1" applyFill="1"/>
    <xf numFmtId="2" fontId="0" fillId="3" borderId="17" xfId="0" applyNumberFormat="1" applyFill="1" applyBorder="1"/>
    <xf numFmtId="2" fontId="0" fillId="3" borderId="18" xfId="0" applyNumberFormat="1" applyFill="1" applyBorder="1"/>
    <xf numFmtId="2" fontId="0" fillId="3" borderId="19" xfId="0" applyNumberFormat="1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14" fillId="0" borderId="0" xfId="0" applyFont="1" applyAlignment="1">
      <alignment horizontal="center"/>
    </xf>
    <xf numFmtId="166" fontId="0" fillId="6" borderId="12" xfId="0" applyNumberFormat="1" applyFill="1" applyBorder="1"/>
    <xf numFmtId="166" fontId="0" fillId="6" borderId="13" xfId="0" applyNumberFormat="1" applyFill="1" applyBorder="1"/>
    <xf numFmtId="166" fontId="0" fillId="6" borderId="14" xfId="0" applyNumberFormat="1" applyFill="1" applyBorder="1"/>
    <xf numFmtId="166" fontId="0" fillId="4" borderId="12" xfId="0" applyNumberFormat="1" applyFill="1" applyBorder="1"/>
    <xf numFmtId="0" fontId="0" fillId="0" borderId="13" xfId="0" applyBorder="1"/>
    <xf numFmtId="0" fontId="0" fillId="0" borderId="14" xfId="0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14" xfId="0" applyNumberFormat="1" applyBorder="1"/>
    <xf numFmtId="166" fontId="0" fillId="6" borderId="15" xfId="0" applyNumberFormat="1" applyFill="1" applyBorder="1"/>
    <xf numFmtId="166" fontId="0" fillId="6" borderId="0" xfId="0" applyNumberFormat="1" applyFill="1"/>
    <xf numFmtId="166" fontId="0" fillId="6" borderId="16" xfId="0" applyNumberFormat="1" applyFill="1" applyBorder="1"/>
    <xf numFmtId="0" fontId="0" fillId="0" borderId="15" xfId="0" applyBorder="1"/>
    <xf numFmtId="0" fontId="0" fillId="0" borderId="16" xfId="0" applyBorder="1"/>
    <xf numFmtId="2" fontId="0" fillId="0" borderId="15" xfId="0" applyNumberFormat="1" applyBorder="1"/>
    <xf numFmtId="2" fontId="0" fillId="0" borderId="16" xfId="0" applyNumberFormat="1" applyBorder="1"/>
    <xf numFmtId="167" fontId="0" fillId="0" borderId="0" xfId="0" applyNumberFormat="1"/>
    <xf numFmtId="166" fontId="0" fillId="6" borderId="17" xfId="0" applyNumberFormat="1" applyFill="1" applyBorder="1"/>
    <xf numFmtId="166" fontId="0" fillId="6" borderId="18" xfId="0" applyNumberFormat="1" applyFill="1" applyBorder="1"/>
    <xf numFmtId="166" fontId="0" fillId="6" borderId="19" xfId="0" applyNumberFormat="1" applyFill="1" applyBorder="1"/>
    <xf numFmtId="0" fontId="0" fillId="0" borderId="17" xfId="0" applyBorder="1"/>
    <xf numFmtId="0" fontId="0" fillId="0" borderId="18" xfId="0" applyBorder="1"/>
    <xf numFmtId="166" fontId="0" fillId="4" borderId="19" xfId="0" applyNumberFormat="1" applyFill="1" applyBorder="1"/>
    <xf numFmtId="2" fontId="0" fillId="0" borderId="17" xfId="0" applyNumberFormat="1" applyBorder="1"/>
    <xf numFmtId="2" fontId="0" fillId="0" borderId="18" xfId="0" applyNumberFormat="1" applyBorder="1"/>
    <xf numFmtId="2" fontId="0" fillId="0" borderId="19" xfId="0" applyNumberFormat="1" applyBorder="1"/>
    <xf numFmtId="0" fontId="9" fillId="0" borderId="22" xfId="0" applyFont="1" applyBorder="1"/>
    <xf numFmtId="166" fontId="0" fillId="0" borderId="12" xfId="0" applyNumberFormat="1" applyBorder="1"/>
    <xf numFmtId="166" fontId="0" fillId="0" borderId="13" xfId="0" applyNumberFormat="1" applyBorder="1"/>
    <xf numFmtId="166" fontId="0" fillId="0" borderId="14" xfId="0" applyNumberFormat="1" applyBorder="1"/>
    <xf numFmtId="166" fontId="0" fillId="0" borderId="15" xfId="0" applyNumberFormat="1" applyBorder="1"/>
    <xf numFmtId="166" fontId="0" fillId="0" borderId="16" xfId="0" applyNumberFormat="1" applyBorder="1"/>
    <xf numFmtId="166" fontId="0" fillId="5" borderId="2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166" fontId="0" fillId="0" borderId="17" xfId="0" applyNumberFormat="1" applyBorder="1"/>
    <xf numFmtId="166" fontId="0" fillId="0" borderId="18" xfId="0" applyNumberFormat="1" applyBorder="1"/>
    <xf numFmtId="166" fontId="0" fillId="0" borderId="19" xfId="0" applyNumberFormat="1" applyBorder="1"/>
    <xf numFmtId="0" fontId="0" fillId="0" borderId="19" xfId="0" applyBorder="1"/>
    <xf numFmtId="168" fontId="0" fillId="0" borderId="4" xfId="0" applyNumberFormat="1" applyBorder="1"/>
    <xf numFmtId="0" fontId="0" fillId="7" borderId="0" xfId="0" applyFill="1"/>
    <xf numFmtId="0" fontId="0" fillId="8" borderId="3" xfId="0" applyFill="1" applyBorder="1"/>
    <xf numFmtId="0" fontId="0" fillId="8" borderId="4" xfId="0" applyFill="1" applyBorder="1"/>
    <xf numFmtId="0" fontId="0" fillId="0" borderId="23" xfId="0" applyBorder="1" applyAlignment="1">
      <alignment horizontal="right"/>
    </xf>
    <xf numFmtId="0" fontId="0" fillId="0" borderId="24" xfId="0" applyBorder="1" applyAlignment="1">
      <alignment horizontal="right"/>
    </xf>
    <xf numFmtId="0" fontId="0" fillId="8" borderId="8" xfId="0" applyFill="1" applyBorder="1"/>
    <xf numFmtId="0" fontId="16" fillId="0" borderId="0" xfId="0" applyFont="1" applyAlignment="1">
      <alignment horizontal="center"/>
    </xf>
    <xf numFmtId="0" fontId="0" fillId="0" borderId="25" xfId="0" applyBorder="1" applyAlignment="1">
      <alignment horizontal="right"/>
    </xf>
    <xf numFmtId="0" fontId="0" fillId="9" borderId="0" xfId="0" applyFill="1"/>
    <xf numFmtId="0" fontId="0" fillId="10" borderId="3" xfId="0" applyFill="1" applyBorder="1"/>
    <xf numFmtId="0" fontId="0" fillId="10" borderId="5" xfId="0" applyFill="1" applyBorder="1"/>
    <xf numFmtId="164" fontId="0" fillId="0" borderId="3" xfId="0" applyNumberFormat="1" applyBorder="1"/>
    <xf numFmtId="164" fontId="0" fillId="0" borderId="5" xfId="0" applyNumberFormat="1" applyBorder="1"/>
    <xf numFmtId="164" fontId="0" fillId="0" borderId="8" xfId="0" applyNumberFormat="1" applyBorder="1"/>
    <xf numFmtId="1" fontId="0" fillId="2" borderId="0" xfId="0" applyNumberFormat="1" applyFill="1"/>
    <xf numFmtId="0" fontId="0" fillId="9" borderId="5" xfId="0" applyFill="1" applyBorder="1"/>
    <xf numFmtId="0" fontId="0" fillId="9" borderId="8" xfId="0" applyFill="1" applyBorder="1"/>
    <xf numFmtId="0" fontId="17" fillId="0" borderId="0" xfId="0" applyFont="1"/>
    <xf numFmtId="0" fontId="0" fillId="0" borderId="0" xfId="0" applyAlignment="1">
      <alignment horizontal="left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10" fontId="0" fillId="0" borderId="26" xfId="0" applyNumberFormat="1" applyBorder="1"/>
    <xf numFmtId="10" fontId="0" fillId="0" borderId="32" xfId="0" applyNumberFormat="1" applyBorder="1"/>
    <xf numFmtId="10" fontId="0" fillId="0" borderId="28" xfId="0" applyNumberFormat="1" applyBorder="1"/>
    <xf numFmtId="10" fontId="0" fillId="0" borderId="0" xfId="0" applyNumberFormat="1"/>
    <xf numFmtId="10" fontId="0" fillId="0" borderId="30" xfId="0" applyNumberFormat="1" applyBorder="1"/>
    <xf numFmtId="10" fontId="0" fillId="0" borderId="33" xfId="0" applyNumberFormat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165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166" fontId="0" fillId="11" borderId="23" xfId="0" applyNumberFormat="1" applyFill="1" applyBorder="1" applyAlignment="1">
      <alignment horizontal="center"/>
    </xf>
    <xf numFmtId="166" fontId="0" fillId="11" borderId="24" xfId="0" applyNumberFormat="1" applyFill="1" applyBorder="1" applyAlignment="1">
      <alignment horizontal="center"/>
    </xf>
    <xf numFmtId="166" fontId="0" fillId="11" borderId="25" xfId="0" applyNumberForma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2" fontId="5" fillId="0" borderId="0" xfId="0" applyNumberFormat="1" applyFo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3" fillId="0" borderId="0" xfId="0" applyFont="1"/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2" fontId="0" fillId="0" borderId="3" xfId="0" applyNumberFormat="1" applyBorder="1" applyAlignment="1">
      <alignment horizontal="center"/>
    </xf>
    <xf numFmtId="0" fontId="11" fillId="0" borderId="0" xfId="0" applyFont="1" applyAlignment="1">
      <alignment horizontal="right"/>
    </xf>
    <xf numFmtId="2" fontId="0" fillId="5" borderId="0" xfId="0" applyNumberFormat="1" applyFill="1"/>
    <xf numFmtId="166" fontId="0" fillId="0" borderId="2" xfId="0" applyNumberFormat="1" applyBorder="1"/>
    <xf numFmtId="166" fontId="0" fillId="0" borderId="3" xfId="0" applyNumberFormat="1" applyBorder="1"/>
    <xf numFmtId="166" fontId="0" fillId="0" borderId="5" xfId="0" applyNumberFormat="1" applyBorder="1"/>
    <xf numFmtId="2" fontId="0" fillId="6" borderId="0" xfId="0" applyNumberFormat="1" applyFill="1"/>
    <xf numFmtId="166" fontId="0" fillId="0" borderId="6" xfId="0" applyNumberFormat="1" applyBorder="1"/>
    <xf numFmtId="166" fontId="0" fillId="0" borderId="7" xfId="0" applyNumberFormat="1" applyBorder="1"/>
    <xf numFmtId="166" fontId="0" fillId="0" borderId="8" xfId="0" applyNumberFormat="1" applyBorder="1"/>
    <xf numFmtId="166" fontId="0" fillId="0" borderId="9" xfId="0" applyNumberFormat="1" applyBorder="1"/>
    <xf numFmtId="166" fontId="0" fillId="0" borderId="10" xfId="0" applyNumberFormat="1" applyBorder="1"/>
    <xf numFmtId="166" fontId="0" fillId="0" borderId="11" xfId="0" applyNumberFormat="1" applyBorder="1"/>
    <xf numFmtId="2" fontId="0" fillId="7" borderId="0" xfId="0" applyNumberFormat="1" applyFill="1"/>
    <xf numFmtId="2" fontId="0" fillId="4" borderId="0" xfId="0" applyNumberFormat="1" applyFill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9" fontId="0" fillId="0" borderId="0" xfId="1" applyNumberFormat="1" applyFont="1"/>
    <xf numFmtId="0" fontId="0" fillId="5" borderId="0" xfId="0" applyFill="1" applyAlignment="1">
      <alignment horizontal="center"/>
    </xf>
    <xf numFmtId="169" fontId="0" fillId="0" borderId="0" xfId="0" applyNumberFormat="1"/>
    <xf numFmtId="0" fontId="0" fillId="0" borderId="41" xfId="0" applyBorder="1"/>
    <xf numFmtId="0" fontId="0" fillId="0" borderId="23" xfId="0" applyBorder="1"/>
    <xf numFmtId="0" fontId="0" fillId="5" borderId="23" xfId="0" applyFill="1" applyBorder="1"/>
    <xf numFmtId="0" fontId="0" fillId="0" borderId="24" xfId="0" applyBorder="1"/>
    <xf numFmtId="0" fontId="0" fillId="4" borderId="24" xfId="0" applyFill="1" applyBorder="1"/>
    <xf numFmtId="0" fontId="0" fillId="12" borderId="24" xfId="0" applyFill="1" applyBorder="1"/>
    <xf numFmtId="0" fontId="2" fillId="0" borderId="0" xfId="0" applyFont="1"/>
    <xf numFmtId="0" fontId="0" fillId="0" borderId="25" xfId="0" applyBorder="1"/>
    <xf numFmtId="0" fontId="0" fillId="13" borderId="25" xfId="0" applyFill="1" applyBorder="1"/>
    <xf numFmtId="0" fontId="0" fillId="4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0" fillId="0" borderId="4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13" borderId="0" xfId="0" applyFill="1" applyAlignment="1">
      <alignment horizontal="center"/>
    </xf>
    <xf numFmtId="0" fontId="0" fillId="0" borderId="25" xfId="0" applyBorder="1" applyAlignment="1">
      <alignment horizontal="center"/>
    </xf>
    <xf numFmtId="0" fontId="0" fillId="13" borderId="8" xfId="0" applyFill="1" applyBorder="1" applyAlignment="1">
      <alignment horizontal="center"/>
    </xf>
    <xf numFmtId="9" fontId="0" fillId="0" borderId="0" xfId="1" applyFont="1"/>
    <xf numFmtId="166" fontId="0" fillId="14" borderId="0" xfId="0" applyNumberFormat="1" applyFill="1"/>
    <xf numFmtId="0" fontId="9" fillId="0" borderId="0" xfId="0" applyFont="1" applyAlignment="1">
      <alignment horizontal="right"/>
    </xf>
    <xf numFmtId="166" fontId="0" fillId="0" borderId="1" xfId="0" applyNumberFormat="1" applyBorder="1"/>
    <xf numFmtId="166" fontId="0" fillId="0" borderId="4" xfId="0" applyNumberFormat="1" applyBorder="1"/>
    <xf numFmtId="0" fontId="25" fillId="0" borderId="5" xfId="0" applyFont="1" applyBorder="1"/>
    <xf numFmtId="166" fontId="0" fillId="14" borderId="9" xfId="0" applyNumberFormat="1" applyFill="1" applyBorder="1"/>
    <xf numFmtId="166" fontId="0" fillId="14" borderId="10" xfId="0" applyNumberFormat="1" applyFill="1" applyBorder="1"/>
    <xf numFmtId="166" fontId="0" fillId="14" borderId="11" xfId="0" applyNumberFormat="1" applyFill="1" applyBorder="1"/>
    <xf numFmtId="2" fontId="0" fillId="0" borderId="0" xfId="0" applyNumberFormat="1" applyAlignment="1">
      <alignment horizontal="left"/>
    </xf>
    <xf numFmtId="2" fontId="0" fillId="0" borderId="1" xfId="0" applyNumberFormat="1" applyBorder="1"/>
    <xf numFmtId="2" fontId="0" fillId="0" borderId="42" xfId="0" applyNumberFormat="1" applyBorder="1"/>
    <xf numFmtId="2" fontId="0" fillId="0" borderId="3" xfId="0" applyNumberFormat="1" applyBorder="1"/>
    <xf numFmtId="166" fontId="0" fillId="13" borderId="41" xfId="0" applyNumberFormat="1" applyFill="1" applyBorder="1" applyAlignment="1">
      <alignment horizontal="center"/>
    </xf>
    <xf numFmtId="2" fontId="0" fillId="0" borderId="4" xfId="0" applyNumberFormat="1" applyBorder="1"/>
    <xf numFmtId="2" fontId="0" fillId="0" borderId="5" xfId="0" applyNumberFormat="1" applyBorder="1"/>
    <xf numFmtId="0" fontId="0" fillId="13" borderId="41" xfId="0" applyFill="1" applyBorder="1" applyAlignment="1">
      <alignment horizontal="center"/>
    </xf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70" fontId="0" fillId="0" borderId="10" xfId="0" applyNumberFormat="1" applyBorder="1"/>
    <xf numFmtId="170" fontId="0" fillId="0" borderId="11" xfId="0" applyNumberFormat="1" applyBorder="1"/>
    <xf numFmtId="170" fontId="0" fillId="0" borderId="9" xfId="0" applyNumberFormat="1" applyBorder="1"/>
    <xf numFmtId="170" fontId="0" fillId="0" borderId="0" xfId="0" applyNumberFormat="1"/>
    <xf numFmtId="170" fontId="0" fillId="0" borderId="0" xfId="0" applyNumberFormat="1" applyAlignment="1">
      <alignment horizontal="center"/>
    </xf>
    <xf numFmtId="0" fontId="0" fillId="0" borderId="42" xfId="0" applyBorder="1"/>
    <xf numFmtId="166" fontId="0" fillId="0" borderId="42" xfId="0" applyNumberFormat="1" applyBorder="1"/>
    <xf numFmtId="0" fontId="0" fillId="0" borderId="42" xfId="0" applyBorder="1" applyAlignment="1">
      <alignment horizontal="center"/>
    </xf>
    <xf numFmtId="1" fontId="0" fillId="0" borderId="0" xfId="0" applyNumberFormat="1"/>
    <xf numFmtId="2" fontId="0" fillId="0" borderId="34" xfId="0" applyNumberFormat="1" applyBorder="1"/>
    <xf numFmtId="2" fontId="0" fillId="0" borderId="26" xfId="0" applyNumberFormat="1" applyBorder="1"/>
    <xf numFmtId="2" fontId="0" fillId="0" borderId="32" xfId="0" applyNumberFormat="1" applyBorder="1"/>
    <xf numFmtId="2" fontId="0" fillId="0" borderId="27" xfId="0" applyNumberFormat="1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2" fontId="0" fillId="0" borderId="35" xfId="0" applyNumberFormat="1" applyBorder="1"/>
    <xf numFmtId="2" fontId="0" fillId="0" borderId="28" xfId="0" applyNumberFormat="1" applyBorder="1"/>
    <xf numFmtId="2" fontId="0" fillId="0" borderId="29" xfId="0" applyNumberFormat="1" applyBorder="1"/>
    <xf numFmtId="0" fontId="0" fillId="0" borderId="40" xfId="0" applyBorder="1" applyAlignment="1">
      <alignment horizontal="center"/>
    </xf>
    <xf numFmtId="170" fontId="0" fillId="0" borderId="26" xfId="0" applyNumberFormat="1" applyBorder="1"/>
    <xf numFmtId="170" fontId="0" fillId="0" borderId="28" xfId="0" applyNumberFormat="1" applyBorder="1"/>
    <xf numFmtId="2" fontId="0" fillId="0" borderId="36" xfId="0" applyNumberFormat="1" applyBorder="1"/>
    <xf numFmtId="2" fontId="0" fillId="0" borderId="30" xfId="0" applyNumberFormat="1" applyBorder="1"/>
    <xf numFmtId="2" fontId="0" fillId="0" borderId="33" xfId="0" applyNumberFormat="1" applyBorder="1"/>
    <xf numFmtId="2" fontId="0" fillId="0" borderId="31" xfId="0" applyNumberFormat="1" applyBorder="1"/>
    <xf numFmtId="170" fontId="0" fillId="0" borderId="30" xfId="0" applyNumberFormat="1" applyBorder="1"/>
    <xf numFmtId="2" fontId="0" fillId="13" borderId="0" xfId="0" applyNumberFormat="1" applyFill="1" applyAlignment="1">
      <alignment horizontal="center"/>
    </xf>
    <xf numFmtId="2" fontId="0" fillId="0" borderId="43" xfId="0" applyNumberFormat="1" applyBorder="1"/>
    <xf numFmtId="2" fontId="0" fillId="0" borderId="44" xfId="0" applyNumberFormat="1" applyBorder="1"/>
    <xf numFmtId="0" fontId="0" fillId="0" borderId="43" xfId="0" applyBorder="1"/>
    <xf numFmtId="0" fontId="0" fillId="0" borderId="44" xfId="0" applyBorder="1"/>
    <xf numFmtId="0" fontId="26" fillId="0" borderId="0" xfId="0" applyFont="1"/>
    <xf numFmtId="164" fontId="26" fillId="0" borderId="0" xfId="0" applyNumberFormat="1" applyFont="1"/>
    <xf numFmtId="0" fontId="3" fillId="0" borderId="0" xfId="0" quotePrefix="1" applyFont="1"/>
    <xf numFmtId="166" fontId="0" fillId="0" borderId="43" xfId="0" applyNumberFormat="1" applyBorder="1"/>
    <xf numFmtId="166" fontId="0" fillId="0" borderId="44" xfId="0" applyNumberFormat="1" applyBorder="1"/>
    <xf numFmtId="166" fontId="0" fillId="4" borderId="0" xfId="0" applyNumberFormat="1" applyFill="1" applyAlignment="1">
      <alignment horizontal="center"/>
    </xf>
    <xf numFmtId="166" fontId="0" fillId="15" borderId="0" xfId="0" applyNumberFormat="1" applyFill="1" applyAlignment="1">
      <alignment horizontal="center"/>
    </xf>
    <xf numFmtId="166" fontId="0" fillId="13" borderId="0" xfId="0" applyNumberFormat="1" applyFill="1" applyAlignment="1">
      <alignment horizontal="center"/>
    </xf>
    <xf numFmtId="166" fontId="0" fillId="14" borderId="0" xfId="0" applyNumberFormat="1" applyFill="1" applyAlignment="1">
      <alignment horizontal="center"/>
    </xf>
    <xf numFmtId="2" fontId="0" fillId="0" borderId="43" xfId="0" applyNumberFormat="1" applyBorder="1" applyAlignment="1">
      <alignment horizontal="center"/>
    </xf>
    <xf numFmtId="2" fontId="0" fillId="0" borderId="42" xfId="0" applyNumberFormat="1" applyBorder="1" applyAlignment="1">
      <alignment horizontal="center"/>
    </xf>
    <xf numFmtId="2" fontId="0" fillId="0" borderId="44" xfId="0" applyNumberFormat="1" applyBorder="1" applyAlignment="1">
      <alignment horizontal="center"/>
    </xf>
    <xf numFmtId="166" fontId="0" fillId="0" borderId="43" xfId="0" applyNumberFormat="1" applyBorder="1" applyAlignment="1">
      <alignment horizontal="center"/>
    </xf>
    <xf numFmtId="166" fontId="0" fillId="0" borderId="42" xfId="0" applyNumberFormat="1" applyBorder="1" applyAlignment="1">
      <alignment horizontal="center"/>
    </xf>
    <xf numFmtId="166" fontId="0" fillId="0" borderId="44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171" fontId="0" fillId="0" borderId="0" xfId="0" applyNumberFormat="1"/>
    <xf numFmtId="166" fontId="0" fillId="5" borderId="43" xfId="0" applyNumberFormat="1" applyFill="1" applyBorder="1" applyAlignment="1">
      <alignment horizontal="center"/>
    </xf>
    <xf numFmtId="166" fontId="0" fillId="5" borderId="42" xfId="0" applyNumberFormat="1" applyFill="1" applyBorder="1" applyAlignment="1">
      <alignment horizontal="center"/>
    </xf>
    <xf numFmtId="166" fontId="0" fillId="5" borderId="44" xfId="0" applyNumberFormat="1" applyFill="1" applyBorder="1" applyAlignment="1">
      <alignment horizontal="center"/>
    </xf>
    <xf numFmtId="166" fontId="0" fillId="5" borderId="4" xfId="0" applyNumberFormat="1" applyFill="1" applyBorder="1" applyAlignment="1">
      <alignment horizontal="center"/>
    </xf>
    <xf numFmtId="166" fontId="0" fillId="5" borderId="0" xfId="0" applyNumberFormat="1" applyFill="1" applyAlignment="1">
      <alignment horizontal="center"/>
    </xf>
    <xf numFmtId="166" fontId="0" fillId="5" borderId="5" xfId="0" applyNumberFormat="1" applyFill="1" applyBorder="1" applyAlignment="1">
      <alignment horizontal="center"/>
    </xf>
    <xf numFmtId="166" fontId="0" fillId="5" borderId="6" xfId="0" applyNumberFormat="1" applyFill="1" applyBorder="1" applyAlignment="1">
      <alignment horizontal="center"/>
    </xf>
    <xf numFmtId="166" fontId="0" fillId="5" borderId="7" xfId="0" applyNumberFormat="1" applyFill="1" applyBorder="1" applyAlignment="1">
      <alignment horizontal="center"/>
    </xf>
    <xf numFmtId="166" fontId="0" fillId="5" borderId="8" xfId="0" applyNumberFormat="1" applyFill="1" applyBorder="1" applyAlignment="1">
      <alignment horizontal="center"/>
    </xf>
    <xf numFmtId="0" fontId="9" fillId="0" borderId="0" xfId="0" applyFont="1" applyAlignment="1">
      <alignment horizontal="center"/>
    </xf>
    <xf numFmtId="166" fontId="0" fillId="15" borderId="0" xfId="0" applyNumberFormat="1" applyFill="1"/>
    <xf numFmtId="0" fontId="17" fillId="0" borderId="45" xfId="0" applyFont="1" applyBorder="1" applyAlignment="1">
      <alignment horizontal="center"/>
    </xf>
    <xf numFmtId="0" fontId="0" fillId="16" borderId="0" xfId="0" applyFill="1"/>
    <xf numFmtId="0" fontId="0" fillId="14" borderId="0" xfId="0" applyFill="1"/>
    <xf numFmtId="2" fontId="0" fillId="14" borderId="0" xfId="0" applyNumberFormat="1" applyFill="1"/>
    <xf numFmtId="2" fontId="0" fillId="15" borderId="0" xfId="0" applyNumberFormat="1" applyFill="1"/>
    <xf numFmtId="2" fontId="0" fillId="17" borderId="0" xfId="0" applyNumberFormat="1" applyFill="1"/>
    <xf numFmtId="2" fontId="0" fillId="16" borderId="0" xfId="0" applyNumberFormat="1" applyFill="1"/>
    <xf numFmtId="2" fontId="0" fillId="16" borderId="0" xfId="0" quotePrefix="1" applyNumberFormat="1" applyFill="1"/>
    <xf numFmtId="2" fontId="0" fillId="18" borderId="0" xfId="0" applyNumberFormat="1" applyFill="1"/>
    <xf numFmtId="2" fontId="0" fillId="19" borderId="0" xfId="0" applyNumberFormat="1" applyFill="1"/>
    <xf numFmtId="14" fontId="0" fillId="0" borderId="0" xfId="0" applyNumberFormat="1"/>
    <xf numFmtId="2" fontId="0" fillId="20" borderId="0" xfId="0" quotePrefix="1" applyNumberFormat="1" applyFill="1"/>
    <xf numFmtId="2" fontId="0" fillId="10" borderId="0" xfId="0" applyNumberFormat="1" applyFill="1"/>
    <xf numFmtId="172" fontId="0" fillId="0" borderId="0" xfId="0" applyNumberFormat="1"/>
    <xf numFmtId="2" fontId="0" fillId="13" borderId="0" xfId="0" applyNumberFormat="1" applyFill="1"/>
    <xf numFmtId="0" fontId="0" fillId="21" borderId="0" xfId="0" applyFill="1" applyAlignment="1">
      <alignment horizontal="left"/>
    </xf>
    <xf numFmtId="0" fontId="0" fillId="21" borderId="0" xfId="0" applyFill="1" applyAlignment="1">
      <alignment horizontal="right"/>
    </xf>
    <xf numFmtId="2" fontId="0" fillId="0" borderId="0" xfId="0" quotePrefix="1" applyNumberFormat="1"/>
    <xf numFmtId="2" fontId="0" fillId="15" borderId="0" xfId="0" quotePrefix="1" applyNumberFormat="1" applyFill="1"/>
    <xf numFmtId="0" fontId="2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quotePrefix="1" applyAlignment="1">
      <alignment horizontal="center" wrapText="1"/>
    </xf>
    <xf numFmtId="0" fontId="17" fillId="0" borderId="46" xfId="0" applyFont="1" applyBorder="1" applyAlignment="1">
      <alignment horizontal="center"/>
    </xf>
    <xf numFmtId="0" fontId="17" fillId="0" borderId="46" xfId="0" applyFont="1" applyBorder="1" applyAlignment="1">
      <alignment horizontal="centerContinuous"/>
    </xf>
    <xf numFmtId="0" fontId="0" fillId="0" borderId="3" xfId="0" applyBorder="1" applyAlignment="1">
      <alignment horizontal="right"/>
    </xf>
    <xf numFmtId="0" fontId="0" fillId="0" borderId="47" xfId="0" applyBorder="1"/>
    <xf numFmtId="170" fontId="0" fillId="0" borderId="5" xfId="0" applyNumberFormat="1" applyBorder="1"/>
    <xf numFmtId="0" fontId="0" fillId="0" borderId="5" xfId="0" applyBorder="1" applyAlignment="1">
      <alignment horizontal="right"/>
    </xf>
    <xf numFmtId="0" fontId="0" fillId="0" borderId="48" xfId="0" applyBorder="1"/>
    <xf numFmtId="0" fontId="0" fillId="0" borderId="49" xfId="0" applyBorder="1"/>
    <xf numFmtId="0" fontId="9" fillId="0" borderId="49" xfId="0" applyFont="1" applyBorder="1"/>
    <xf numFmtId="170" fontId="0" fillId="0" borderId="50" xfId="0" applyNumberFormat="1" applyBorder="1"/>
    <xf numFmtId="173" fontId="0" fillId="0" borderId="0" xfId="0" applyNumberFormat="1" applyAlignment="1">
      <alignment horizontal="center"/>
    </xf>
    <xf numFmtId="0" fontId="9" fillId="0" borderId="48" xfId="0" applyFont="1" applyBorder="1"/>
    <xf numFmtId="0" fontId="9" fillId="0" borderId="50" xfId="0" applyFont="1" applyBorder="1"/>
    <xf numFmtId="0" fontId="0" fillId="12" borderId="0" xfId="0" applyFill="1"/>
    <xf numFmtId="2" fontId="0" fillId="0" borderId="47" xfId="0" applyNumberFormat="1" applyBorder="1"/>
    <xf numFmtId="2" fontId="0" fillId="0" borderId="48" xfId="0" applyNumberFormat="1" applyBorder="1"/>
    <xf numFmtId="2" fontId="0" fillId="0" borderId="49" xfId="0" applyNumberFormat="1" applyBorder="1"/>
    <xf numFmtId="2" fontId="0" fillId="0" borderId="50" xfId="0" applyNumberFormat="1" applyBorder="1"/>
    <xf numFmtId="170" fontId="0" fillId="0" borderId="47" xfId="0" applyNumberFormat="1" applyBorder="1"/>
    <xf numFmtId="166" fontId="0" fillId="0" borderId="47" xfId="0" applyNumberFormat="1" applyBorder="1"/>
    <xf numFmtId="0" fontId="0" fillId="0" borderId="47" xfId="0" applyBorder="1" applyAlignment="1">
      <alignment horizontal="center"/>
    </xf>
    <xf numFmtId="1" fontId="0" fillId="0" borderId="47" xfId="0" applyNumberFormat="1" applyBorder="1"/>
    <xf numFmtId="0" fontId="0" fillId="0" borderId="50" xfId="0" applyBorder="1"/>
    <xf numFmtId="166" fontId="0" fillId="0" borderId="48" xfId="0" applyNumberFormat="1" applyBorder="1"/>
    <xf numFmtId="166" fontId="0" fillId="0" borderId="49" xfId="0" applyNumberFormat="1" applyBorder="1"/>
    <xf numFmtId="1" fontId="0" fillId="0" borderId="50" xfId="0" applyNumberFormat="1" applyBorder="1"/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13" borderId="40" xfId="0" applyFill="1" applyBorder="1"/>
    <xf numFmtId="0" fontId="0" fillId="13" borderId="0" xfId="0" applyFill="1"/>
    <xf numFmtId="2" fontId="0" fillId="0" borderId="2" xfId="0" applyNumberFormat="1" applyBorder="1"/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6" fontId="0" fillId="0" borderId="50" xfId="0" applyNumberFormat="1" applyBorder="1"/>
    <xf numFmtId="165" fontId="0" fillId="21" borderId="0" xfId="0" applyNumberFormat="1" applyFill="1"/>
    <xf numFmtId="165" fontId="0" fillId="21" borderId="0" xfId="0" applyNumberFormat="1" applyFill="1" applyAlignment="1">
      <alignment horizontal="center"/>
    </xf>
    <xf numFmtId="168" fontId="0" fillId="0" borderId="47" xfId="0" applyNumberFormat="1" applyBorder="1"/>
    <xf numFmtId="0" fontId="0" fillId="21" borderId="0" xfId="0" applyFill="1"/>
    <xf numFmtId="168" fontId="0" fillId="0" borderId="6" xfId="0" applyNumberFormat="1" applyBorder="1"/>
    <xf numFmtId="168" fontId="0" fillId="21" borderId="4" xfId="0" applyNumberFormat="1" applyFill="1" applyBorder="1"/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06/relationships/rdRichValue" Target="richData/rdrichvalue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microsoft.com/office/2017/06/relationships/rdSupportingPropertyBagStructure" Target="richData/rdsupportingpropertybagstructure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40" Type="http://schemas.microsoft.com/office/2017/06/relationships/rdRichValueStructure" Target="richData/rdrichvaluestructure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43" Type="http://schemas.microsoft.com/office/2017/06/relationships/rdSupportingPropertyBag" Target="richData/rdsupportingpropertybag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eetMetadata" Target="metadata.xml"/><Relationship Id="rId20" Type="http://schemas.openxmlformats.org/officeDocument/2006/relationships/worksheet" Target="worksheets/sheet20.xml"/><Relationship Id="rId41" Type="http://schemas.microsoft.com/office/2017/06/relationships/richStyles" Target="richData/rich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PC1 and PC2 scores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'Fig.4.1.3-4.1.6'!$AA$13</c:f>
              <c:strCache>
                <c:ptCount val="1"/>
                <c:pt idx="0">
                  <c:v>PC2 score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'Fig.4.1.3-4.1.6'!$Z$14:$Z$19</c:f>
              <c:numCache>
                <c:formatCode>0.00</c:formatCode>
                <c:ptCount val="6"/>
                <c:pt idx="0">
                  <c:v>-3.3002756860988129</c:v>
                </c:pt>
                <c:pt idx="1">
                  <c:v>-2.7079514304069434</c:v>
                </c:pt>
                <c:pt idx="2">
                  <c:v>2.8479768655487017</c:v>
                </c:pt>
                <c:pt idx="3">
                  <c:v>2.6473618476026233</c:v>
                </c:pt>
                <c:pt idx="4">
                  <c:v>-1.8169860170964101</c:v>
                </c:pt>
                <c:pt idx="5">
                  <c:v>2.3298744204508415</c:v>
                </c:pt>
              </c:numCache>
            </c:numRef>
          </c:xVal>
          <c:yVal>
            <c:numRef>
              <c:f>'Fig.4.1.3-4.1.6'!$AA$14:$AA$19</c:f>
              <c:numCache>
                <c:formatCode>0.00</c:formatCode>
                <c:ptCount val="6"/>
                <c:pt idx="0">
                  <c:v>-0.64636705103638437</c:v>
                </c:pt>
                <c:pt idx="1">
                  <c:v>0.88303046907758664</c:v>
                </c:pt>
                <c:pt idx="2">
                  <c:v>0.76923107741851393</c:v>
                </c:pt>
                <c:pt idx="3">
                  <c:v>-1.1950781239349073</c:v>
                </c:pt>
                <c:pt idx="4">
                  <c:v>-0.19057597708221108</c:v>
                </c:pt>
                <c:pt idx="5">
                  <c:v>0.37975960555740296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E5-428A-A938-E204F795B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6493151"/>
        <c:axId val="1320592512"/>
      </c:scatterChart>
      <c:valAx>
        <c:axId val="115649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0592512"/>
        <c:crosses val="autoZero"/>
        <c:crossBetween val="midCat"/>
      </c:valAx>
      <c:valAx>
        <c:axId val="132059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4931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Dim 1 &amp;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'Fig.4.6.4-4.6.8'!$R$2</c:f>
              <c:strCache>
                <c:ptCount val="1"/>
                <c:pt idx="0">
                  <c:v>Dim 2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DA873BAD-DEEC-4DE8-8610-FE43CF33668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B5E-424F-A9F8-30D50048D8B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BB4EE34-F9BD-4E41-909D-B6AABD2D3FD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B5E-424F-A9F8-30D50048D8B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35CCC4F-561A-4EED-8AB9-14F262F8083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B5E-424F-A9F8-30D50048D8B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123C484-1F12-43D9-92DC-C94C73D75DB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B5E-424F-A9F8-30D50048D8B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8686C30-E7BA-433E-B007-6A882E9918D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B5E-424F-A9F8-30D50048D8B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E64DE88-9E8A-44E6-8518-1EE9927FC90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B5E-424F-A9F8-30D50048D8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'Fig.4.6.4-4.6.8'!$Q$3:$Q$8</c:f>
              <c:numCache>
                <c:formatCode>General</c:formatCode>
                <c:ptCount val="6"/>
                <c:pt idx="0">
                  <c:v>3.3002756860988125</c:v>
                </c:pt>
                <c:pt idx="1">
                  <c:v>2.7079514304069425</c:v>
                </c:pt>
                <c:pt idx="2">
                  <c:v>-2.8479768655487017</c:v>
                </c:pt>
                <c:pt idx="3">
                  <c:v>-2.6473618476026224</c:v>
                </c:pt>
                <c:pt idx="4">
                  <c:v>1.8169860170964101</c:v>
                </c:pt>
                <c:pt idx="5">
                  <c:v>-2.3298744204508415</c:v>
                </c:pt>
              </c:numCache>
            </c:numRef>
          </c:xVal>
          <c:yVal>
            <c:numRef>
              <c:f>'Fig.4.6.4-4.6.8'!$R$3:$R$8</c:f>
              <c:numCache>
                <c:formatCode>General</c:formatCode>
                <c:ptCount val="6"/>
                <c:pt idx="0">
                  <c:v>0.6463670510363837</c:v>
                </c:pt>
                <c:pt idx="1">
                  <c:v>-0.88303046907758609</c:v>
                </c:pt>
                <c:pt idx="2">
                  <c:v>-0.76923107741851326</c:v>
                </c:pt>
                <c:pt idx="3">
                  <c:v>1.1950781239349062</c:v>
                </c:pt>
                <c:pt idx="4">
                  <c:v>0.19057597708221077</c:v>
                </c:pt>
                <c:pt idx="5">
                  <c:v>-0.37975960555740251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'Fig.4.6.4-4.6.8'!$P$3:$P$8</c15:f>
                <c15:dlblRangeCache>
                  <c:ptCount val="6"/>
                  <c:pt idx="0">
                    <c:v>P1</c:v>
                  </c:pt>
                  <c:pt idx="1">
                    <c:v>P2</c:v>
                  </c:pt>
                  <c:pt idx="2">
                    <c:v>P3</c:v>
                  </c:pt>
                  <c:pt idx="3">
                    <c:v>P4</c:v>
                  </c:pt>
                  <c:pt idx="4">
                    <c:v>P5</c:v>
                  </c:pt>
                  <c:pt idx="5">
                    <c:v>P6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7B5E-424F-A9F8-30D50048D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2414143"/>
        <c:axId val="1852414623"/>
      </c:scatterChart>
      <c:valAx>
        <c:axId val="18524141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2414623"/>
        <c:crosses val="autoZero"/>
        <c:crossBetween val="midCat"/>
      </c:valAx>
      <c:valAx>
        <c:axId val="185241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24141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Standard coordinates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331-4F8A-99EA-5496237E8F63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5331-4F8A-99EA-5496237E8F63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5331-4F8A-99EA-5496237E8F63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5331-4F8A-99EA-5496237E8F63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5331-4F8A-99EA-5496237E8F63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73489717-7C01-4269-919F-420836ECF92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331-4F8A-99EA-5496237E8F6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22A4148-1E2D-4720-82C7-0D42CD0759F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5331-4F8A-99EA-5496237E8F6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ECD15BA-3EB6-4B3F-9968-DA38FDD47FC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5331-4F8A-99EA-5496237E8F6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0388AB4-6C67-4761-BC34-2BDED583B02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5331-4F8A-99EA-5496237E8F6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3FB8BE0-4AB4-429E-B720-4C4FACF4514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5331-4F8A-99EA-5496237E8F6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3D392FA-6906-4D97-A3C7-E1EE3DD7F41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5331-4F8A-99EA-5496237E8F6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885E14A-2DFE-491D-BF9A-1D345B72CC8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5331-4F8A-99EA-5496237E8F6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4B03B2E-14EF-4E3D-9B9C-7E0E275B983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5331-4F8A-99EA-5496237E8F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'Fig.4.7.2-4.7.3'!$AE$10:$AE$17</c:f>
              <c:numCache>
                <c:formatCode>0.000</c:formatCode>
                <c:ptCount val="8"/>
                <c:pt idx="0">
                  <c:v>0.27193358330211331</c:v>
                </c:pt>
                <c:pt idx="1">
                  <c:v>0.35777778726621878</c:v>
                </c:pt>
                <c:pt idx="2">
                  <c:v>-1.2024949652346077</c:v>
                </c:pt>
                <c:pt idx="3">
                  <c:v>1.6753430973177512</c:v>
                </c:pt>
                <c:pt idx="4">
                  <c:v>-0.71242490713043827</c:v>
                </c:pt>
                <c:pt idx="5">
                  <c:v>-1.2637166513433788</c:v>
                </c:pt>
                <c:pt idx="6">
                  <c:v>0.13356297255369176</c:v>
                </c:pt>
                <c:pt idx="7">
                  <c:v>1.1482658624262214</c:v>
                </c:pt>
              </c:numCache>
            </c:numRef>
          </c:xVal>
          <c:yVal>
            <c:numRef>
              <c:f>'Fig.4.7.2-4.7.3'!$AF$10:$AF$17</c:f>
              <c:numCache>
                <c:formatCode>0.000</c:formatCode>
                <c:ptCount val="8"/>
                <c:pt idx="0">
                  <c:v>0.43502417170059948</c:v>
                </c:pt>
                <c:pt idx="1">
                  <c:v>1.7998119480224848</c:v>
                </c:pt>
                <c:pt idx="2">
                  <c:v>-0.26184925030428852</c:v>
                </c:pt>
                <c:pt idx="3">
                  <c:v>-1.0624848920312686</c:v>
                </c:pt>
                <c:pt idx="4">
                  <c:v>-0.74799377968273439</c:v>
                </c:pt>
                <c:pt idx="5">
                  <c:v>-0.59191915837631914</c:v>
                </c:pt>
                <c:pt idx="6">
                  <c:v>1.4272256981407279</c:v>
                </c:pt>
                <c:pt idx="7">
                  <c:v>-0.81744362011660388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'Fig.4.7.2-4.7.3'!$AD$10:$AD$17</c15:f>
                <c15:dlblRangeCache>
                  <c:ptCount val="8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Salty</c:v>
                  </c:pt>
                  <c:pt idx="6">
                    <c:v>Sweet</c:v>
                  </c:pt>
                  <c:pt idx="7">
                    <c:v>Bland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5331-4F8A-99EA-5496237E8F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355519"/>
        <c:axId val="337357919"/>
      </c:scatterChart>
      <c:valAx>
        <c:axId val="337355519"/>
        <c:scaling>
          <c:orientation val="minMax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357919"/>
        <c:crosses val="autoZero"/>
        <c:crossBetween val="midCat"/>
      </c:valAx>
      <c:valAx>
        <c:axId val="337357919"/>
        <c:scaling>
          <c:orientation val="minMax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3555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Principal coordinates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9C9-4D82-8400-8E40450EFDC2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29C9-4D82-8400-8E40450EFDC2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29C9-4D82-8400-8E40450EFDC2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29C9-4D82-8400-8E40450EFDC2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29C9-4D82-8400-8E40450EFDC2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170B8CC1-4298-48B9-BCFD-4324E82ED7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29C9-4D82-8400-8E40450EFDC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041744C-F0CE-4963-A2FC-60F10160D92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29C9-4D82-8400-8E40450EFDC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113C2CD-C4C8-470E-B4DA-72E3283CBDC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29C9-4D82-8400-8E40450EFDC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CE2122B-BE07-42F1-8416-E4C71D7EFC9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29C9-4D82-8400-8E40450EFDC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AEBF5F4-A524-4429-A7C1-9319BE4DA7D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9C9-4D82-8400-8E40450EFDC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BD43972-B306-4044-8F4B-677DE059B15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29C9-4D82-8400-8E40450EFDC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2E9641E-77CA-4B33-AD48-6A45D45C8D2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29C9-4D82-8400-8E40450EFDC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5EE0AD4-4B15-4412-A409-51F178CCBA7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29C9-4D82-8400-8E40450EFD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'Fig.4.7.2-4.7.3'!$AE$21:$AE$28</c:f>
              <c:numCache>
                <c:formatCode>0.000</c:formatCode>
                <c:ptCount val="8"/>
                <c:pt idx="0">
                  <c:v>4.806154631333779E-2</c:v>
                </c:pt>
                <c:pt idx="1">
                  <c:v>6.3233652437386378E-2</c:v>
                </c:pt>
                <c:pt idx="2">
                  <c:v>-0.21252898138355636</c:v>
                </c:pt>
                <c:pt idx="3">
                  <c:v>0.29610016859525612</c:v>
                </c:pt>
                <c:pt idx="4">
                  <c:v>-0.12591399066287684</c:v>
                </c:pt>
                <c:pt idx="5">
                  <c:v>-0.22334930326718475</c:v>
                </c:pt>
                <c:pt idx="6">
                  <c:v>2.4092693382891665E-2</c:v>
                </c:pt>
                <c:pt idx="7">
                  <c:v>0.20570580577357053</c:v>
                </c:pt>
              </c:numCache>
            </c:numRef>
          </c:xVal>
          <c:yVal>
            <c:numRef>
              <c:f>'Fig.4.7.2-4.7.3'!$AF$21:$AF$28</c:f>
              <c:numCache>
                <c:formatCode>0.000</c:formatCode>
                <c:ptCount val="8"/>
                <c:pt idx="0">
                  <c:v>6.3279749335190927E-2</c:v>
                </c:pt>
                <c:pt idx="1">
                  <c:v>0.26180533480730162</c:v>
                </c:pt>
                <c:pt idx="2">
                  <c:v>-3.8089274115708199E-2</c:v>
                </c:pt>
                <c:pt idx="3">
                  <c:v>-0.15455182036744147</c:v>
                </c:pt>
                <c:pt idx="4">
                  <c:v>-0.10880512385684576</c:v>
                </c:pt>
                <c:pt idx="5">
                  <c:v>-8.4362487093429472E-2</c:v>
                </c:pt>
                <c:pt idx="6">
                  <c:v>0.20760796824238553</c:v>
                </c:pt>
                <c:pt idx="7">
                  <c:v>-0.11809023536225398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'Fig.4.7.2-4.7.3'!$AD$21:$AD$28</c15:f>
                <c15:dlblRangeCache>
                  <c:ptCount val="8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Salty</c:v>
                  </c:pt>
                  <c:pt idx="6">
                    <c:v>Sweet</c:v>
                  </c:pt>
                  <c:pt idx="7">
                    <c:v>Bland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29C9-4D82-8400-8E40450EF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920975"/>
        <c:axId val="556922415"/>
      </c:scatterChart>
      <c:valAx>
        <c:axId val="556920975"/>
        <c:scaling>
          <c:orientation val="minMax"/>
          <c:max val="0.30000000000000004"/>
          <c:min val="-0.3000000000000000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922415"/>
        <c:crosses val="autoZero"/>
        <c:crossBetween val="midCat"/>
        <c:majorUnit val="5.000000000000001E-2"/>
        <c:minorUnit val="1.0000000000000002E-2"/>
      </c:valAx>
      <c:valAx>
        <c:axId val="556922415"/>
        <c:scaling>
          <c:orientation val="minMax"/>
          <c:max val="0.30000000000000004"/>
          <c:min val="-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920975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Principal coordinates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4AA9-47A1-A7C0-3A9546127E27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4AA9-47A1-A7C0-3A9546127E27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4AA9-47A1-A7C0-3A9546127E27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4AA9-47A1-A7C0-3A9546127E27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4AA9-47A1-A7C0-3A9546127E2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80FEAA11-0938-46EC-99E7-F6B0625DF6C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4AA9-47A1-A7C0-3A9546127E2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F531D26-E821-4F2D-B4D2-688D9C49D10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AA9-47A1-A7C0-3A9546127E2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957DDFE-D696-4FCA-B976-D62DC085355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4AA9-47A1-A7C0-3A9546127E2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2252872-109D-41B2-9336-A495F7ACE1D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4AA9-47A1-A7C0-3A9546127E2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E183140-03C1-4707-A5B8-C101262D162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4AA9-47A1-A7C0-3A9546127E2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353FF05-BE7F-41B8-B987-C52A0A17DCB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4AA9-47A1-A7C0-3A9546127E2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2FA4C5D-1F41-444E-A75B-942C2D9BCA8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4AA9-47A1-A7C0-3A9546127E2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E71EB34-0B0C-4C9D-917D-BEA59F43CD3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4AA9-47A1-A7C0-3A9546127E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'Fig.4.7.4-4.7.9'!$AE$26:$AE$33</c:f>
              <c:numCache>
                <c:formatCode>0.000</c:formatCode>
                <c:ptCount val="8"/>
                <c:pt idx="0">
                  <c:v>4.80615463133377E-2</c:v>
                </c:pt>
                <c:pt idx="1">
                  <c:v>6.3233652437386198E-2</c:v>
                </c:pt>
                <c:pt idx="2">
                  <c:v>-0.21252898138355625</c:v>
                </c:pt>
                <c:pt idx="3">
                  <c:v>0.29610016859525651</c:v>
                </c:pt>
                <c:pt idx="4">
                  <c:v>-0.12591399066287681</c:v>
                </c:pt>
                <c:pt idx="5">
                  <c:v>-0.22334930326718455</c:v>
                </c:pt>
                <c:pt idx="6">
                  <c:v>2.4092693382891505E-2</c:v>
                </c:pt>
                <c:pt idx="7">
                  <c:v>0.20570580577357078</c:v>
                </c:pt>
              </c:numCache>
            </c:numRef>
          </c:xVal>
          <c:yVal>
            <c:numRef>
              <c:f>'Fig.4.7.4-4.7.9'!$AF$26:$AF$33</c:f>
              <c:numCache>
                <c:formatCode>0.000</c:formatCode>
                <c:ptCount val="8"/>
                <c:pt idx="0">
                  <c:v>6.3279749335190871E-2</c:v>
                </c:pt>
                <c:pt idx="1">
                  <c:v>0.26180533480730178</c:v>
                </c:pt>
                <c:pt idx="2">
                  <c:v>-3.8089274115708317E-2</c:v>
                </c:pt>
                <c:pt idx="3">
                  <c:v>-0.15455182036744158</c:v>
                </c:pt>
                <c:pt idx="4">
                  <c:v>-0.1088051238568459</c:v>
                </c:pt>
                <c:pt idx="5">
                  <c:v>-8.4362487093429639E-2</c:v>
                </c:pt>
                <c:pt idx="6">
                  <c:v>0.20760796824238562</c:v>
                </c:pt>
                <c:pt idx="7">
                  <c:v>-0.11809023536225402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'Fig.4.7.4-4.7.9'!$AD$26:$AD$33</c15:f>
                <c15:dlblRangeCache>
                  <c:ptCount val="8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Salty</c:v>
                  </c:pt>
                  <c:pt idx="6">
                    <c:v>Sweet</c:v>
                  </c:pt>
                  <c:pt idx="7">
                    <c:v>Bland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4AA9-47A1-A7C0-3A9546127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8232768"/>
        <c:axId val="1928229888"/>
      </c:scatterChart>
      <c:valAx>
        <c:axId val="1928232768"/>
        <c:scaling>
          <c:orientation val="minMax"/>
          <c:max val="0.3000000000000000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229888"/>
        <c:crosses val="autoZero"/>
        <c:crossBetween val="midCat"/>
      </c:valAx>
      <c:valAx>
        <c:axId val="1928229888"/>
        <c:scaling>
          <c:orientation val="minMax"/>
          <c:min val="-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232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Principal coordinates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DEAF-4A3F-AF0D-BE806FD4F27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DEAF-4A3F-AF0D-BE806FD4F27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DEAF-4A3F-AF0D-BE806FD4F27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DEAF-4A3F-AF0D-BE806FD4F27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DEAF-4A3F-AF0D-BE806FD4F27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840D1F0-29D7-466A-8792-5B75708BF05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EAF-4A3F-AF0D-BE806FD4F27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970130C-606C-4CEF-8D79-072A844AE8B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EAF-4A3F-AF0D-BE806FD4F27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B872C20-00A8-4839-9A55-F62B93B998F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EAF-4A3F-AF0D-BE806FD4F27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01B1281-6342-4318-A980-FB44F72A193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EAF-4A3F-AF0D-BE806FD4F27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F69B199-381A-4DCD-ACEC-52AC73B133A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EAF-4A3F-AF0D-BE806FD4F27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A850B2B-9D55-4FB9-9312-F3220EF891F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EAF-4A3F-AF0D-BE806FD4F27F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C0DE04A-935F-4E27-B992-93AFD4DFCD4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EAF-4A3F-AF0D-BE806FD4F27F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EE6B36D-3554-438B-BE39-1DE17E06637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DEAF-4A3F-AF0D-BE806FD4F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'Fig.4.7.4-4.7.9'!$AE$26:$AE$33</c:f>
              <c:numCache>
                <c:formatCode>0.000</c:formatCode>
                <c:ptCount val="8"/>
                <c:pt idx="0">
                  <c:v>4.80615463133377E-2</c:v>
                </c:pt>
                <c:pt idx="1">
                  <c:v>6.3233652437386198E-2</c:v>
                </c:pt>
                <c:pt idx="2">
                  <c:v>-0.21252898138355625</c:v>
                </c:pt>
                <c:pt idx="3">
                  <c:v>0.29610016859525651</c:v>
                </c:pt>
                <c:pt idx="4">
                  <c:v>-0.12591399066287681</c:v>
                </c:pt>
                <c:pt idx="5">
                  <c:v>-0.22334930326718455</c:v>
                </c:pt>
                <c:pt idx="6">
                  <c:v>2.4092693382891505E-2</c:v>
                </c:pt>
                <c:pt idx="7">
                  <c:v>0.20570580577357078</c:v>
                </c:pt>
              </c:numCache>
            </c:numRef>
          </c:xVal>
          <c:yVal>
            <c:numRef>
              <c:f>'Fig.4.7.4-4.7.9'!$AF$26:$AF$33</c:f>
              <c:numCache>
                <c:formatCode>0.000</c:formatCode>
                <c:ptCount val="8"/>
                <c:pt idx="0">
                  <c:v>6.3279749335190871E-2</c:v>
                </c:pt>
                <c:pt idx="1">
                  <c:v>0.26180533480730178</c:v>
                </c:pt>
                <c:pt idx="2">
                  <c:v>-3.8089274115708317E-2</c:v>
                </c:pt>
                <c:pt idx="3">
                  <c:v>-0.15455182036744158</c:v>
                </c:pt>
                <c:pt idx="4">
                  <c:v>-0.1088051238568459</c:v>
                </c:pt>
                <c:pt idx="5">
                  <c:v>-8.4362487093429639E-2</c:v>
                </c:pt>
                <c:pt idx="6">
                  <c:v>0.20760796824238562</c:v>
                </c:pt>
                <c:pt idx="7">
                  <c:v>-0.11809023536225402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'Fig.4.7.4-4.7.9'!$AD$26:$AD$33</c15:f>
                <c15:dlblRangeCache>
                  <c:ptCount val="8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Salty</c:v>
                  </c:pt>
                  <c:pt idx="6">
                    <c:v>Sweet</c:v>
                  </c:pt>
                  <c:pt idx="7">
                    <c:v>Bland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DEAF-4A3F-AF0D-BE806FD4F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8232768"/>
        <c:axId val="1928229888"/>
      </c:scatterChart>
      <c:valAx>
        <c:axId val="1928232768"/>
        <c:scaling>
          <c:orientation val="minMax"/>
          <c:max val="0.3000000000000000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229888"/>
        <c:crosses val="autoZero"/>
        <c:crossBetween val="midCat"/>
      </c:valAx>
      <c:valAx>
        <c:axId val="1928229888"/>
        <c:scaling>
          <c:orientation val="minMax"/>
          <c:min val="-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232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 Plot for Rows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6AF-4EB4-A6AB-C829B6D41202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26AF-4EB4-A6AB-C829B6D41202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26AF-4EB4-A6AB-C829B6D41202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26AF-4EB4-A6AB-C829B6D41202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26AF-4EB4-A6AB-C829B6D41202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26AF-4EB4-A6AB-C829B6D4120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26AF-4EB4-A6AB-C829B6D4120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C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26AF-4EB4-A6AB-C829B6D4120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D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26AF-4EB4-A6AB-C829B6D4120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26AF-4EB4-A6AB-C829B6D4120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'Fig.4.7.10'!$W$6:$W$10</c:f>
              <c:numCache>
                <c:formatCode>General</c:formatCode>
                <c:ptCount val="5"/>
                <c:pt idx="0">
                  <c:v>4.8061546313337797E-2</c:v>
                </c:pt>
                <c:pt idx="1">
                  <c:v>6.3233652437386351E-2</c:v>
                </c:pt>
                <c:pt idx="2">
                  <c:v>-0.21252898138355636</c:v>
                </c:pt>
                <c:pt idx="3">
                  <c:v>0.29610016859525612</c:v>
                </c:pt>
                <c:pt idx="4">
                  <c:v>-0.12591399066287678</c:v>
                </c:pt>
              </c:numCache>
            </c:numRef>
          </c:xVal>
          <c:yVal>
            <c:numRef>
              <c:f>'Fig.4.7.10'!$X$6:$X$10</c:f>
              <c:numCache>
                <c:formatCode>General</c:formatCode>
                <c:ptCount val="5"/>
                <c:pt idx="0">
                  <c:v>6.3279749335190774E-2</c:v>
                </c:pt>
                <c:pt idx="1">
                  <c:v>0.26180533480730173</c:v>
                </c:pt>
                <c:pt idx="2">
                  <c:v>-3.808927411570829E-2</c:v>
                </c:pt>
                <c:pt idx="3">
                  <c:v>-0.15455182036744108</c:v>
                </c:pt>
                <c:pt idx="4">
                  <c:v>-0.10880512385684608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6AF-4EB4-A6AB-C829B6D41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140016"/>
        <c:axId val="189140496"/>
      </c:scatterChart>
      <c:valAx>
        <c:axId val="189140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9140496"/>
        <c:crosses val="autoZero"/>
        <c:crossBetween val="midCat"/>
      </c:valAx>
      <c:valAx>
        <c:axId val="189140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9140016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 Plot for Columns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7E9-497D-A88B-49691D3FED1C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17E9-497D-A88B-49691D3FED1C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17E9-497D-A88B-49691D3FED1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Salty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17E9-497D-A88B-49691D3FED1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Sweet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17E9-497D-A88B-49691D3FED1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Bland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17E9-497D-A88B-49691D3FED1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'Fig.4.7.10'!$W$16:$W$18</c:f>
              <c:numCache>
                <c:formatCode>General</c:formatCode>
                <c:ptCount val="3"/>
                <c:pt idx="0">
                  <c:v>-0.22334930326718477</c:v>
                </c:pt>
                <c:pt idx="1">
                  <c:v>2.4092693382891574E-2</c:v>
                </c:pt>
                <c:pt idx="2">
                  <c:v>0.20570580577357056</c:v>
                </c:pt>
              </c:numCache>
            </c:numRef>
          </c:xVal>
          <c:yVal>
            <c:numRef>
              <c:f>'Fig.4.7.10'!$X$16:$X$18</c:f>
              <c:numCache>
                <c:formatCode>General</c:formatCode>
                <c:ptCount val="3"/>
                <c:pt idx="0">
                  <c:v>-8.4362487093429819E-2</c:v>
                </c:pt>
                <c:pt idx="1">
                  <c:v>0.20760796824238562</c:v>
                </c:pt>
                <c:pt idx="2">
                  <c:v>-0.11809023536225377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7E9-497D-A88B-49691D3FE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136656"/>
        <c:axId val="189141936"/>
      </c:scatterChart>
      <c:valAx>
        <c:axId val="18913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9141936"/>
        <c:crosses val="autoZero"/>
        <c:crossBetween val="midCat"/>
      </c:valAx>
      <c:valAx>
        <c:axId val="1891419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9136656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Combined CA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9E7F-4E5B-9AA6-869069598142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E7F-4E5B-9AA6-869069598142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9E7F-4E5B-9AA6-869069598142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E7F-4E5B-9AA6-869069598142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E7F-4E5B-9AA6-869069598142}"/>
              </c:ext>
            </c:extLst>
          </c:dPt>
          <c:dPt>
            <c:idx val="5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5-9E7F-4E5B-9AA6-869069598142}"/>
              </c:ext>
            </c:extLst>
          </c:dPt>
          <c:dPt>
            <c:idx val="6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6-9E7F-4E5B-9AA6-869069598142}"/>
              </c:ext>
            </c:extLst>
          </c:dPt>
          <c:dPt>
            <c:idx val="7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7-9E7F-4E5B-9AA6-869069598142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9E7F-4E5B-9AA6-86906959814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E7F-4E5B-9AA6-86906959814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C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E7F-4E5B-9AA6-86906959814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D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E7F-4E5B-9AA6-86906959814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E7F-4E5B-9AA6-86906959814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Salty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9E7F-4E5B-9AA6-86906959814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Sweet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9E7F-4E5B-9AA6-86906959814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Bland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9E7F-4E5B-9AA6-8690695981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'Fig.4.7.10'!$AE$5:$AE$12</c:f>
              <c:numCache>
                <c:formatCode>General</c:formatCode>
                <c:ptCount val="8"/>
                <c:pt idx="0">
                  <c:v>4.8061546313337797E-2</c:v>
                </c:pt>
                <c:pt idx="1">
                  <c:v>6.3233652437386351E-2</c:v>
                </c:pt>
                <c:pt idx="2">
                  <c:v>-0.21252898138355636</c:v>
                </c:pt>
                <c:pt idx="3">
                  <c:v>0.29610016859525612</c:v>
                </c:pt>
                <c:pt idx="4">
                  <c:v>-0.12591399066287678</c:v>
                </c:pt>
                <c:pt idx="5">
                  <c:v>-0.22334930326718477</c:v>
                </c:pt>
                <c:pt idx="6">
                  <c:v>2.4092693382891574E-2</c:v>
                </c:pt>
                <c:pt idx="7">
                  <c:v>0.20570580577357056</c:v>
                </c:pt>
              </c:numCache>
            </c:numRef>
          </c:xVal>
          <c:yVal>
            <c:numRef>
              <c:f>'Fig.4.7.10'!$AF$5:$AF$12</c:f>
              <c:numCache>
                <c:formatCode>General</c:formatCode>
                <c:ptCount val="8"/>
                <c:pt idx="0">
                  <c:v>6.3279749335190774E-2</c:v>
                </c:pt>
                <c:pt idx="1">
                  <c:v>0.26180533480730173</c:v>
                </c:pt>
                <c:pt idx="2">
                  <c:v>-3.808927411570829E-2</c:v>
                </c:pt>
                <c:pt idx="3">
                  <c:v>-0.15455182036744108</c:v>
                </c:pt>
                <c:pt idx="4">
                  <c:v>-0.10880512385684608</c:v>
                </c:pt>
                <c:pt idx="5">
                  <c:v>-8.4362487093429819E-2</c:v>
                </c:pt>
                <c:pt idx="6">
                  <c:v>0.20760796824238562</c:v>
                </c:pt>
                <c:pt idx="7">
                  <c:v>-0.11809023536225377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E7F-4E5B-9AA6-869069598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5102432"/>
        <c:axId val="1915103392"/>
      </c:scatterChart>
      <c:valAx>
        <c:axId val="1915102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15103392"/>
        <c:crosses val="autoZero"/>
        <c:crossBetween val="midCat"/>
      </c:valAx>
      <c:valAx>
        <c:axId val="1915103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15102432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AAPL actual and reconstructed values via SVD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'Fig.4.8.4-4.8.9'!$A$1</c:f>
              <c:strCache>
                <c:ptCount val="1"/>
                <c:pt idx="0">
                  <c:v>AAPL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'Fig.4.8.4-4.8.9'!$A$2:$A$25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5A-4FEC-A9C6-10FFBF3491D6}"/>
            </c:ext>
          </c:extLst>
        </c:ser>
        <c:ser>
          <c:idx val="1"/>
          <c:order val="1"/>
          <c:tx>
            <c:strRef>
              <c:f>'Fig.4.8.4-4.8.9'!$B$1</c:f>
              <c:strCache>
                <c:ptCount val="1"/>
                <c:pt idx="0">
                  <c:v>Reconstruct.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'Fig.4.8.4-4.8.9'!$B$2:$B$25</c:f>
              <c:numCache>
                <c:formatCode>0.00</c:formatCode>
                <c:ptCount val="24"/>
                <c:pt idx="0">
                  <c:v>206.51056661803673</c:v>
                </c:pt>
                <c:pt idx="1">
                  <c:v>208.25237659053496</c:v>
                </c:pt>
                <c:pt idx="2">
                  <c:v>209.88528863463651</c:v>
                </c:pt>
                <c:pt idx="3">
                  <c:v>211.10847210585953</c:v>
                </c:pt>
                <c:pt idx="4">
                  <c:v>211.44188158184213</c:v>
                </c:pt>
                <c:pt idx="5">
                  <c:v>211.20079069207682</c:v>
                </c:pt>
                <c:pt idx="6">
                  <c:v>211.08989661785648</c:v>
                </c:pt>
                <c:pt idx="7">
                  <c:v>211.06461144343268</c:v>
                </c:pt>
                <c:pt idx="8">
                  <c:v>210.92121130864538</c:v>
                </c:pt>
                <c:pt idx="9">
                  <c:v>210.52696193824897</c:v>
                </c:pt>
                <c:pt idx="10">
                  <c:v>210.08496631036326</c:v>
                </c:pt>
                <c:pt idx="11">
                  <c:v>209.87178320883407</c:v>
                </c:pt>
                <c:pt idx="12">
                  <c:v>209.98888423954747</c:v>
                </c:pt>
                <c:pt idx="13">
                  <c:v>210.46131074208884</c:v>
                </c:pt>
                <c:pt idx="14">
                  <c:v>210.92540682577749</c:v>
                </c:pt>
                <c:pt idx="15">
                  <c:v>211.29886697295095</c:v>
                </c:pt>
                <c:pt idx="16">
                  <c:v>211.60645264632674</c:v>
                </c:pt>
                <c:pt idx="17">
                  <c:v>211.92610063736782</c:v>
                </c:pt>
                <c:pt idx="18">
                  <c:v>212.19769279751711</c:v>
                </c:pt>
                <c:pt idx="19">
                  <c:v>212.18861285780702</c:v>
                </c:pt>
                <c:pt idx="20">
                  <c:v>211.82961166118781</c:v>
                </c:pt>
                <c:pt idx="21">
                  <c:v>211.20679252359827</c:v>
                </c:pt>
                <c:pt idx="22">
                  <c:v>210.59538350968592</c:v>
                </c:pt>
                <c:pt idx="23">
                  <c:v>210.15407667323723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5A-4FEC-A9C6-10FFBF349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10367"/>
        <c:axId val="1776010847"/>
      </c:lineChart>
      <c:catAx>
        <c:axId val="1776010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847"/>
        <c:crosses val="autoZero"/>
        <c:auto val="1"/>
        <c:lblAlgn val="ctr"/>
        <c:lblOffset val="100"/>
        <c:noMultiLvlLbl val="0"/>
      </c:catAx>
      <c:valAx>
        <c:axId val="1776010847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AAPL actual and reconstructed values via SVD and 5-day forecasts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'Fig.4.8.4-4.8.9'!$A$1</c:f>
              <c:strCache>
                <c:ptCount val="1"/>
                <c:pt idx="0">
                  <c:v>AAPL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'Fig.4.8.4-4.8.9'!$A$2:$A$25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97-4C31-A96B-3DAFF42E42CA}"/>
            </c:ext>
          </c:extLst>
        </c:ser>
        <c:ser>
          <c:idx val="1"/>
          <c:order val="1"/>
          <c:tx>
            <c:strRef>
              <c:f>'Fig.4.8.4-4.8.9'!$B$1</c:f>
              <c:strCache>
                <c:ptCount val="1"/>
                <c:pt idx="0">
                  <c:v>Reconstruct.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'Fig.4.8.4-4.8.9'!$B$2:$B$29</c:f>
              <c:numCache>
                <c:formatCode>0.00</c:formatCode>
                <c:ptCount val="28"/>
                <c:pt idx="0">
                  <c:v>206.51056661803673</c:v>
                </c:pt>
                <c:pt idx="1">
                  <c:v>208.25237659053496</c:v>
                </c:pt>
                <c:pt idx="2">
                  <c:v>209.88528863463651</c:v>
                </c:pt>
                <c:pt idx="3">
                  <c:v>211.10847210585953</c:v>
                </c:pt>
                <c:pt idx="4">
                  <c:v>211.44188158184213</c:v>
                </c:pt>
                <c:pt idx="5">
                  <c:v>211.20079069207682</c:v>
                </c:pt>
                <c:pt idx="6">
                  <c:v>211.08989661785648</c:v>
                </c:pt>
                <c:pt idx="7">
                  <c:v>211.06461144343268</c:v>
                </c:pt>
                <c:pt idx="8">
                  <c:v>210.92121130864538</c:v>
                </c:pt>
                <c:pt idx="9">
                  <c:v>210.52696193824897</c:v>
                </c:pt>
                <c:pt idx="10">
                  <c:v>210.08496631036326</c:v>
                </c:pt>
                <c:pt idx="11">
                  <c:v>209.87178320883407</c:v>
                </c:pt>
                <c:pt idx="12">
                  <c:v>209.98888423954747</c:v>
                </c:pt>
                <c:pt idx="13">
                  <c:v>210.46131074208884</c:v>
                </c:pt>
                <c:pt idx="14">
                  <c:v>210.92540682577749</c:v>
                </c:pt>
                <c:pt idx="15">
                  <c:v>211.29886697295095</c:v>
                </c:pt>
                <c:pt idx="16">
                  <c:v>211.60645264632674</c:v>
                </c:pt>
                <c:pt idx="17">
                  <c:v>211.92610063736782</c:v>
                </c:pt>
                <c:pt idx="18">
                  <c:v>212.19769279751711</c:v>
                </c:pt>
                <c:pt idx="19">
                  <c:v>212.18861285780702</c:v>
                </c:pt>
                <c:pt idx="20">
                  <c:v>211.82961166118781</c:v>
                </c:pt>
                <c:pt idx="21">
                  <c:v>211.20679252359827</c:v>
                </c:pt>
                <c:pt idx="22">
                  <c:v>210.59538350968592</c:v>
                </c:pt>
                <c:pt idx="23">
                  <c:v>210.15407667323723</c:v>
                </c:pt>
                <c:pt idx="24">
                  <c:v>209.88815692190443</c:v>
                </c:pt>
                <c:pt idx="25">
                  <c:v>210.05897103097243</c:v>
                </c:pt>
                <c:pt idx="26">
                  <c:v>210.35979615180617</c:v>
                </c:pt>
                <c:pt idx="27">
                  <c:v>210.7140908163239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97-4C31-A96B-3DAFF42E4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10367"/>
        <c:axId val="1776010847"/>
      </c:lineChart>
      <c:catAx>
        <c:axId val="1776010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847"/>
        <c:crosses val="autoZero"/>
        <c:auto val="1"/>
        <c:lblAlgn val="ctr"/>
        <c:lblOffset val="100"/>
        <c:noMultiLvlLbl val="0"/>
      </c:catAx>
      <c:valAx>
        <c:axId val="1776010847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Scree Plot - Eigenvalues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'Fig.4.1.3-4.1.6'!$V$2:$V$5</c:f>
              <c:numCache>
                <c:formatCode>0.000</c:formatCode>
                <c:ptCount val="4"/>
                <c:pt idx="0">
                  <c:v>8.4148141067871158</c:v>
                </c:pt>
                <c:pt idx="1">
                  <c:v>0.67959958156260658</c:v>
                </c:pt>
                <c:pt idx="2">
                  <c:v>8.5424379898126374E-2</c:v>
                </c:pt>
                <c:pt idx="3">
                  <c:v>5.3495265085481504E-2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B3-407B-AC6D-45AEB39CD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2772608"/>
        <c:axId val="1842770208"/>
      </c:lineChart>
      <c:catAx>
        <c:axId val="18427726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770208"/>
        <c:crosses val="autoZero"/>
        <c:auto val="1"/>
        <c:lblAlgn val="ctr"/>
        <c:lblOffset val="100"/>
        <c:noMultiLvlLbl val="0"/>
      </c:catAx>
      <c:valAx>
        <c:axId val="184277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277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Errors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'[4]SSA Overview'!$AK$1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'[4]SSA Overview'!$AK$2:$AK$25</c:f>
              <c:numCache>
                <c:formatCode>General</c:formatCode>
                <c:ptCount val="2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1E-4F85-839D-6563C4F9A9AE}"/>
            </c:ext>
          </c:extLst>
        </c:ser>
        <c:ser>
          <c:idx val="1"/>
          <c:order val="1"/>
          <c:tx>
            <c:strRef>
              <c:f>'Fig.4.8.4-4.8.9'!$AI$1</c:f>
              <c:strCache>
                <c:ptCount val="1"/>
                <c:pt idx="0">
                  <c:v>Errors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'Fig.4.8.4-4.8.9'!$AI$2:$AI$25</c:f>
              <c:numCache>
                <c:formatCode>0.00</c:formatCode>
                <c:ptCount val="24"/>
                <c:pt idx="0">
                  <c:v>-5.4305666180367211</c:v>
                </c:pt>
                <c:pt idx="1">
                  <c:v>-3.0823765905349774</c:v>
                </c:pt>
                <c:pt idx="2">
                  <c:v>-2.0652886346365165</c:v>
                </c:pt>
                <c:pt idx="3">
                  <c:v>1.3315278941404642</c:v>
                </c:pt>
                <c:pt idx="4">
                  <c:v>2.1081184181578863</c:v>
                </c:pt>
                <c:pt idx="5">
                  <c:v>-1.2507906920768335</c:v>
                </c:pt>
                <c:pt idx="6">
                  <c:v>-1.079896617856491</c:v>
                </c:pt>
                <c:pt idx="7">
                  <c:v>7.5388556567304477E-2</c:v>
                </c:pt>
                <c:pt idx="8">
                  <c:v>1.488788691354614</c:v>
                </c:pt>
                <c:pt idx="9">
                  <c:v>0.63303806175102295</c:v>
                </c:pt>
                <c:pt idx="10">
                  <c:v>-1.464966310363252</c:v>
                </c:pt>
                <c:pt idx="11">
                  <c:v>-0.76178320883406059</c:v>
                </c:pt>
                <c:pt idx="12">
                  <c:v>0.17111576045252264</c:v>
                </c:pt>
                <c:pt idx="13">
                  <c:v>-0.44131074208883092</c:v>
                </c:pt>
                <c:pt idx="14">
                  <c:v>0.2545931742225207</c:v>
                </c:pt>
                <c:pt idx="15">
                  <c:v>1.181133027049043</c:v>
                </c:pt>
                <c:pt idx="16">
                  <c:v>2.7935473536732616</c:v>
                </c:pt>
                <c:pt idx="17">
                  <c:v>2.2238993626321815</c:v>
                </c:pt>
                <c:pt idx="18">
                  <c:v>1.5623072024828843</c:v>
                </c:pt>
                <c:pt idx="19">
                  <c:v>1.6913871421929798</c:v>
                </c:pt>
                <c:pt idx="20">
                  <c:v>2.2203883388121994</c:v>
                </c:pt>
                <c:pt idx="21">
                  <c:v>6.3207476401743179E-2</c:v>
                </c:pt>
                <c:pt idx="22">
                  <c:v>-1.5453835096859052</c:v>
                </c:pt>
                <c:pt idx="23">
                  <c:v>-2.5840766732372344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1E-4F85-839D-6563C4F9A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2007823"/>
        <c:axId val="2009488367"/>
      </c:lineChart>
      <c:catAx>
        <c:axId val="20120078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488367"/>
        <c:crosses val="autoZero"/>
        <c:auto val="1"/>
        <c:lblAlgn val="ctr"/>
        <c:lblOffset val="100"/>
        <c:noMultiLvlLbl val="0"/>
      </c:catAx>
      <c:valAx>
        <c:axId val="2009488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2007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3MA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'Fig.4.8.4-4.8.9'!$A$2:$A$25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71-4A80-BE14-E5466CD9155B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'Fig.4.8.4-4.8.9'!$AK$2:$AK$25</c:f>
              <c:numCache>
                <c:formatCode>General</c:formatCode>
                <c:ptCount val="24"/>
                <c:pt idx="2">
                  <c:v>204.68999999999997</c:v>
                </c:pt>
                <c:pt idx="3">
                  <c:v>208.47666666666669</c:v>
                </c:pt>
                <c:pt idx="4">
                  <c:v>208.012</c:v>
                </c:pt>
                <c:pt idx="5">
                  <c:v>211.98000000000002</c:v>
                </c:pt>
                <c:pt idx="6">
                  <c:v>211.17</c:v>
                </c:pt>
                <c:pt idx="7">
                  <c:v>210.36666666666665</c:v>
                </c:pt>
                <c:pt idx="8">
                  <c:v>211.18666666666664</c:v>
                </c:pt>
                <c:pt idx="9">
                  <c:v>211.56999999999996</c:v>
                </c:pt>
                <c:pt idx="10">
                  <c:v>210.73000000000002</c:v>
                </c:pt>
                <c:pt idx="11">
                  <c:v>209.63</c:v>
                </c:pt>
                <c:pt idx="12">
                  <c:v>209.29666666666665</c:v>
                </c:pt>
                <c:pt idx="13">
                  <c:v>209.76333333333332</c:v>
                </c:pt>
                <c:pt idx="14">
                  <c:v>210.45333333333335</c:v>
                </c:pt>
                <c:pt idx="15">
                  <c:v>211.22666666666669</c:v>
                </c:pt>
                <c:pt idx="16">
                  <c:v>212.68666666666664</c:v>
                </c:pt>
                <c:pt idx="17">
                  <c:v>213.67666666666665</c:v>
                </c:pt>
                <c:pt idx="18">
                  <c:v>214.10333333333332</c:v>
                </c:pt>
                <c:pt idx="19">
                  <c:v>213.92999999999998</c:v>
                </c:pt>
                <c:pt idx="20">
                  <c:v>213.89666666666668</c:v>
                </c:pt>
                <c:pt idx="21">
                  <c:v>213.06666666666669</c:v>
                </c:pt>
                <c:pt idx="22">
                  <c:v>211.45666666666671</c:v>
                </c:pt>
                <c:pt idx="23">
                  <c:v>209.29666666666671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71-4A80-BE14-E5466CD91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5073296"/>
        <c:axId val="1955073776"/>
      </c:lineChart>
      <c:catAx>
        <c:axId val="19550732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073776"/>
        <c:crosses val="autoZero"/>
        <c:auto val="1"/>
        <c:lblAlgn val="ctr"/>
        <c:lblOffset val="100"/>
        <c:noMultiLvlLbl val="0"/>
      </c:catAx>
      <c:valAx>
        <c:axId val="1955073776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507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AAPL actual and reconstructed values via SVD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'SSA Alt Coeff'!$A$1</c:f>
              <c:strCache>
                <c:ptCount val="1"/>
                <c:pt idx="0">
                  <c:v>AAPL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1C-4FC2-94C7-6E726F9853C3}"/>
            </c:ext>
          </c:extLst>
        </c:ser>
        <c:ser>
          <c:idx val="1"/>
          <c:order val="1"/>
          <c:tx>
            <c:strRef>
              <c:f>'SSA Alt Coeff'!$B$1</c:f>
              <c:strCache>
                <c:ptCount val="1"/>
                <c:pt idx="0">
                  <c:v>Reconstruct.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Coeff'!$B$2:$B$25</c:f>
              <c:numCache>
                <c:formatCode>0.00</c:formatCode>
                <c:ptCount val="24"/>
                <c:pt idx="0">
                  <c:v>206.51056661803673</c:v>
                </c:pt>
                <c:pt idx="1">
                  <c:v>208.25237659053496</c:v>
                </c:pt>
                <c:pt idx="2">
                  <c:v>209.88528863463651</c:v>
                </c:pt>
                <c:pt idx="3">
                  <c:v>211.10847210585953</c:v>
                </c:pt>
                <c:pt idx="4">
                  <c:v>211.44188158184213</c:v>
                </c:pt>
                <c:pt idx="5">
                  <c:v>211.20079069207682</c:v>
                </c:pt>
                <c:pt idx="6">
                  <c:v>211.08989661785648</c:v>
                </c:pt>
                <c:pt idx="7">
                  <c:v>211.06461144343268</c:v>
                </c:pt>
                <c:pt idx="8">
                  <c:v>210.92121130864538</c:v>
                </c:pt>
                <c:pt idx="9">
                  <c:v>210.52696193824897</c:v>
                </c:pt>
                <c:pt idx="10">
                  <c:v>210.08496631036326</c:v>
                </c:pt>
                <c:pt idx="11">
                  <c:v>209.87178320883407</c:v>
                </c:pt>
                <c:pt idx="12">
                  <c:v>209.98888423954747</c:v>
                </c:pt>
                <c:pt idx="13">
                  <c:v>210.46131074208884</c:v>
                </c:pt>
                <c:pt idx="14">
                  <c:v>210.92540682577749</c:v>
                </c:pt>
                <c:pt idx="15">
                  <c:v>211.29886697295095</c:v>
                </c:pt>
                <c:pt idx="16">
                  <c:v>211.60645264632674</c:v>
                </c:pt>
                <c:pt idx="17">
                  <c:v>211.92610063736782</c:v>
                </c:pt>
                <c:pt idx="18">
                  <c:v>212.19769279751711</c:v>
                </c:pt>
                <c:pt idx="19">
                  <c:v>212.18861285780702</c:v>
                </c:pt>
                <c:pt idx="20">
                  <c:v>211.82961166118781</c:v>
                </c:pt>
                <c:pt idx="21">
                  <c:v>211.20679252359827</c:v>
                </c:pt>
                <c:pt idx="22">
                  <c:v>210.59538350968592</c:v>
                </c:pt>
                <c:pt idx="23">
                  <c:v>210.15407667323723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1C-4FC2-94C7-6E726F985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10367"/>
        <c:axId val="1776010847"/>
      </c:lineChart>
      <c:catAx>
        <c:axId val="1776010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847"/>
        <c:crosses val="autoZero"/>
        <c:auto val="1"/>
        <c:lblAlgn val="ctr"/>
        <c:lblOffset val="100"/>
        <c:noMultiLvlLbl val="0"/>
      </c:catAx>
      <c:valAx>
        <c:axId val="1776010847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AAPL actual and reconstructed values via SVD and 5-day forecasts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'SSA Alt Coeff'!$A$1</c:f>
              <c:strCache>
                <c:ptCount val="1"/>
                <c:pt idx="0">
                  <c:v>AAPL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Coeff'!$A$2:$A$25</c:f>
              <c:numCache>
                <c:formatCode>_([$$-409]* #,##0.00_);_([$$-409]* \(#,##0.00\);_([$$-409]* "-"??_);_(@_)</c:formatCode>
                <c:ptCount val="24"/>
                <c:pt idx="0">
                  <c:v>201.08</c:v>
                </c:pt>
                <c:pt idx="1">
                  <c:v>205.17</c:v>
                </c:pt>
                <c:pt idx="2">
                  <c:v>207.82</c:v>
                </c:pt>
                <c:pt idx="3">
                  <c:v>212.44</c:v>
                </c:pt>
                <c:pt idx="4">
                  <c:v>213.55</c:v>
                </c:pt>
                <c:pt idx="5">
                  <c:v>209.95</c:v>
                </c:pt>
                <c:pt idx="6">
                  <c:v>210.01</c:v>
                </c:pt>
                <c:pt idx="7">
                  <c:v>211.14</c:v>
                </c:pt>
                <c:pt idx="8">
                  <c:v>212.41</c:v>
                </c:pt>
                <c:pt idx="9">
                  <c:v>211.16</c:v>
                </c:pt>
                <c:pt idx="10">
                  <c:v>208.62</c:v>
                </c:pt>
                <c:pt idx="11">
                  <c:v>209.11</c:v>
                </c:pt>
                <c:pt idx="12">
                  <c:v>210.16</c:v>
                </c:pt>
                <c:pt idx="13">
                  <c:v>210.02</c:v>
                </c:pt>
                <c:pt idx="14">
                  <c:v>211.18</c:v>
                </c:pt>
                <c:pt idx="15">
                  <c:v>212.48</c:v>
                </c:pt>
                <c:pt idx="16">
                  <c:v>214.4</c:v>
                </c:pt>
                <c:pt idx="17">
                  <c:v>214.15</c:v>
                </c:pt>
                <c:pt idx="18">
                  <c:v>213.76</c:v>
                </c:pt>
                <c:pt idx="19">
                  <c:v>213.88</c:v>
                </c:pt>
                <c:pt idx="20">
                  <c:v>214.05</c:v>
                </c:pt>
                <c:pt idx="21">
                  <c:v>211.27</c:v>
                </c:pt>
                <c:pt idx="22">
                  <c:v>209.05</c:v>
                </c:pt>
                <c:pt idx="23">
                  <c:v>207.57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7C-4ECD-B89B-9A2F7DBEAD28}"/>
            </c:ext>
          </c:extLst>
        </c:ser>
        <c:ser>
          <c:idx val="1"/>
          <c:order val="1"/>
          <c:tx>
            <c:strRef>
              <c:f>'SSA Alt Coeff'!$B$1</c:f>
              <c:strCache>
                <c:ptCount val="1"/>
                <c:pt idx="0">
                  <c:v>Reconstruct.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Coeff'!$B$2:$B$29</c:f>
              <c:numCache>
                <c:formatCode>0.00</c:formatCode>
                <c:ptCount val="28"/>
                <c:pt idx="0">
                  <c:v>206.51056661803673</c:v>
                </c:pt>
                <c:pt idx="1">
                  <c:v>208.25237659053496</c:v>
                </c:pt>
                <c:pt idx="2">
                  <c:v>209.88528863463651</c:v>
                </c:pt>
                <c:pt idx="3">
                  <c:v>211.10847210585953</c:v>
                </c:pt>
                <c:pt idx="4">
                  <c:v>211.44188158184213</c:v>
                </c:pt>
                <c:pt idx="5">
                  <c:v>211.20079069207682</c:v>
                </c:pt>
                <c:pt idx="6">
                  <c:v>211.08989661785648</c:v>
                </c:pt>
                <c:pt idx="7">
                  <c:v>211.06461144343268</c:v>
                </c:pt>
                <c:pt idx="8">
                  <c:v>210.92121130864538</c:v>
                </c:pt>
                <c:pt idx="9">
                  <c:v>210.52696193824897</c:v>
                </c:pt>
                <c:pt idx="10">
                  <c:v>210.08496631036326</c:v>
                </c:pt>
                <c:pt idx="11">
                  <c:v>209.87178320883407</c:v>
                </c:pt>
                <c:pt idx="12">
                  <c:v>209.98888423954747</c:v>
                </c:pt>
                <c:pt idx="13">
                  <c:v>210.46131074208884</c:v>
                </c:pt>
                <c:pt idx="14">
                  <c:v>210.92540682577749</c:v>
                </c:pt>
                <c:pt idx="15">
                  <c:v>211.29886697295095</c:v>
                </c:pt>
                <c:pt idx="16">
                  <c:v>211.60645264632674</c:v>
                </c:pt>
                <c:pt idx="17">
                  <c:v>211.92610063736782</c:v>
                </c:pt>
                <c:pt idx="18">
                  <c:v>212.19769279751711</c:v>
                </c:pt>
                <c:pt idx="19">
                  <c:v>212.18861285780702</c:v>
                </c:pt>
                <c:pt idx="20">
                  <c:v>211.82961166118781</c:v>
                </c:pt>
                <c:pt idx="21">
                  <c:v>211.20679252359827</c:v>
                </c:pt>
                <c:pt idx="22">
                  <c:v>210.59538350968592</c:v>
                </c:pt>
                <c:pt idx="23">
                  <c:v>210.15407667323723</c:v>
                </c:pt>
                <c:pt idx="24">
                  <c:v>209.92171525281447</c:v>
                </c:pt>
                <c:pt idx="25">
                  <c:v>209.85626563095269</c:v>
                </c:pt>
                <c:pt idx="26">
                  <c:v>209.97903737322153</c:v>
                </c:pt>
                <c:pt idx="27">
                  <c:v>210.38441974027847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7C-4ECD-B89B-9A2F7DBEA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10367"/>
        <c:axId val="1776010847"/>
      </c:lineChart>
      <c:catAx>
        <c:axId val="17760103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847"/>
        <c:crosses val="autoZero"/>
        <c:auto val="1"/>
        <c:lblAlgn val="ctr"/>
        <c:lblOffset val="100"/>
        <c:noMultiLvlLbl val="0"/>
      </c:catAx>
      <c:valAx>
        <c:axId val="1776010847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10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Errors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'Fig.4.8.1'!$AK$1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'Fig.4.8.1'!$AK$2:$AK$25</c:f>
              <c:numCache>
                <c:formatCode>0.00</c:formatCode>
                <c:ptCount val="2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E9-405B-9D9F-CB23F2035A53}"/>
            </c:ext>
          </c:extLst>
        </c:ser>
        <c:ser>
          <c:idx val="1"/>
          <c:order val="1"/>
          <c:tx>
            <c:strRef>
              <c:f>'SSA Alt Coeff'!$AI$1</c:f>
              <c:strCache>
                <c:ptCount val="1"/>
                <c:pt idx="0">
                  <c:v>Errors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'SSA Alt Coeff'!$AI$2:$AI$25</c:f>
              <c:numCache>
                <c:formatCode>0.00</c:formatCode>
                <c:ptCount val="24"/>
                <c:pt idx="0">
                  <c:v>-5.4305666180367211</c:v>
                </c:pt>
                <c:pt idx="1">
                  <c:v>-3.0823765905349774</c:v>
                </c:pt>
                <c:pt idx="2">
                  <c:v>-2.0652886346365165</c:v>
                </c:pt>
                <c:pt idx="3">
                  <c:v>1.3315278941404642</c:v>
                </c:pt>
                <c:pt idx="4">
                  <c:v>2.1081184181578863</c:v>
                </c:pt>
                <c:pt idx="5">
                  <c:v>-1.2507906920768335</c:v>
                </c:pt>
                <c:pt idx="6">
                  <c:v>-1.079896617856491</c:v>
                </c:pt>
                <c:pt idx="7">
                  <c:v>7.5388556567304477E-2</c:v>
                </c:pt>
                <c:pt idx="8">
                  <c:v>1.488788691354614</c:v>
                </c:pt>
                <c:pt idx="9">
                  <c:v>0.63303806175102295</c:v>
                </c:pt>
                <c:pt idx="10">
                  <c:v>-1.464966310363252</c:v>
                </c:pt>
                <c:pt idx="11">
                  <c:v>-0.76178320883406059</c:v>
                </c:pt>
                <c:pt idx="12">
                  <c:v>0.17111576045252264</c:v>
                </c:pt>
                <c:pt idx="13">
                  <c:v>-0.44131074208883092</c:v>
                </c:pt>
                <c:pt idx="14">
                  <c:v>0.2545931742225207</c:v>
                </c:pt>
                <c:pt idx="15">
                  <c:v>1.181133027049043</c:v>
                </c:pt>
                <c:pt idx="16">
                  <c:v>2.7935473536732616</c:v>
                </c:pt>
                <c:pt idx="17">
                  <c:v>2.2238993626321815</c:v>
                </c:pt>
                <c:pt idx="18">
                  <c:v>1.5623072024828843</c:v>
                </c:pt>
                <c:pt idx="19">
                  <c:v>1.6913871421929798</c:v>
                </c:pt>
                <c:pt idx="20">
                  <c:v>2.2203883388121994</c:v>
                </c:pt>
                <c:pt idx="21">
                  <c:v>6.3207476401743179E-2</c:v>
                </c:pt>
                <c:pt idx="22">
                  <c:v>-1.5453835096859052</c:v>
                </c:pt>
                <c:pt idx="23">
                  <c:v>-2.5840766732372344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E9-405B-9D9F-CB23F2035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2007823"/>
        <c:axId val="2009488367"/>
      </c:lineChart>
      <c:catAx>
        <c:axId val="20120078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488367"/>
        <c:crosses val="autoZero"/>
        <c:auto val="1"/>
        <c:lblAlgn val="ctr"/>
        <c:lblOffset val="100"/>
        <c:noMultiLvlLbl val="0"/>
      </c:catAx>
      <c:valAx>
        <c:axId val="2009488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2007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xVal>
            <c:numRef>
              <c:f>'Fig.4.9.6-4.9.8'!$B$2:$B$11</c:f>
              <c:numCache>
                <c:formatCode>General</c:formatCode>
                <c:ptCount val="10"/>
                <c:pt idx="0">
                  <c:v>2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6</c:v>
                </c:pt>
              </c:numCache>
            </c:numRef>
          </c:xVal>
          <c:yVal>
            <c:numRef>
              <c:f>'Fig.4.9.6-4.9.8'!$E$16:$E$25</c:f>
              <c:numCache>
                <c:formatCode>General</c:formatCode>
                <c:ptCount val="10"/>
                <c:pt idx="0">
                  <c:v>-1.690200369182854</c:v>
                </c:pt>
                <c:pt idx="1">
                  <c:v>-2.0599657025040656</c:v>
                </c:pt>
                <c:pt idx="2">
                  <c:v>-1.4533495731370607</c:v>
                </c:pt>
                <c:pt idx="3">
                  <c:v>-0.24373869974012052</c:v>
                </c:pt>
                <c:pt idx="4">
                  <c:v>0.39593156558828113</c:v>
                </c:pt>
                <c:pt idx="5">
                  <c:v>1.0516106113180221</c:v>
                </c:pt>
                <c:pt idx="6">
                  <c:v>3.4916933858400121</c:v>
                </c:pt>
                <c:pt idx="7">
                  <c:v>0.99252166127738306</c:v>
                </c:pt>
                <c:pt idx="8">
                  <c:v>0.8128805730590436</c:v>
                </c:pt>
                <c:pt idx="9">
                  <c:v>-1.2973834525186483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10-4B56-BD47-641A77E66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5133776"/>
        <c:axId val="1955129456"/>
      </c:scatterChart>
      <c:valAx>
        <c:axId val="1955133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Variable 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955129456"/>
        <c:crosses val="autoZero"/>
        <c:crossBetween val="midCat"/>
      </c:valAx>
      <c:valAx>
        <c:axId val="19551294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955133776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X Variable 2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xVal>
            <c:numRef>
              <c:f>'Fig.4.9.6-4.9.8'!$C$2:$C$11</c:f>
              <c:numCache>
                <c:formatCode>General</c:formatCode>
                <c:ptCount val="10"/>
                <c:pt idx="0">
                  <c:v>22</c:v>
                </c:pt>
                <c:pt idx="1">
                  <c:v>32</c:v>
                </c:pt>
                <c:pt idx="2">
                  <c:v>24</c:v>
                </c:pt>
                <c:pt idx="3">
                  <c:v>18</c:v>
                </c:pt>
                <c:pt idx="4">
                  <c:v>24</c:v>
                </c:pt>
                <c:pt idx="5">
                  <c:v>31</c:v>
                </c:pt>
                <c:pt idx="6">
                  <c:v>28</c:v>
                </c:pt>
                <c:pt idx="7">
                  <c:v>18</c:v>
                </c:pt>
                <c:pt idx="8">
                  <c:v>21</c:v>
                </c:pt>
                <c:pt idx="9">
                  <c:v>25</c:v>
                </c:pt>
              </c:numCache>
            </c:numRef>
          </c:xVal>
          <c:yVal>
            <c:numRef>
              <c:f>'Fig.4.9.6-4.9.8'!$E$16:$E$25</c:f>
              <c:numCache>
                <c:formatCode>General</c:formatCode>
                <c:ptCount val="10"/>
                <c:pt idx="0">
                  <c:v>-1.690200369182854</c:v>
                </c:pt>
                <c:pt idx="1">
                  <c:v>-2.0599657025040656</c:v>
                </c:pt>
                <c:pt idx="2">
                  <c:v>-1.4533495731370607</c:v>
                </c:pt>
                <c:pt idx="3">
                  <c:v>-0.24373869974012052</c:v>
                </c:pt>
                <c:pt idx="4">
                  <c:v>0.39593156558828113</c:v>
                </c:pt>
                <c:pt idx="5">
                  <c:v>1.0516106113180221</c:v>
                </c:pt>
                <c:pt idx="6">
                  <c:v>3.4916933858400121</c:v>
                </c:pt>
                <c:pt idx="7">
                  <c:v>0.99252166127738306</c:v>
                </c:pt>
                <c:pt idx="8">
                  <c:v>0.8128805730590436</c:v>
                </c:pt>
                <c:pt idx="9">
                  <c:v>-1.2973834525186483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2B-40AF-916E-3B3E4408E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441328"/>
        <c:axId val="575451408"/>
      </c:scatterChart>
      <c:valAx>
        <c:axId val="57544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Variable 2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51408"/>
        <c:crosses val="autoZero"/>
        <c:crossBetween val="midCat"/>
      </c:valAx>
      <c:valAx>
        <c:axId val="5754514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41328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X Variable 3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xVal>
            <c:numRef>
              <c:f>'Fig.4.9.6-4.9.8'!$D$2:$D$11</c:f>
              <c:numCache>
                <c:formatCode>General</c:formatCode>
                <c:ptCount val="10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9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8</c:v>
                </c:pt>
              </c:numCache>
            </c:numRef>
          </c:xVal>
          <c:yVal>
            <c:numRef>
              <c:f>'Fig.4.9.6-4.9.8'!$E$16:$E$25</c:f>
              <c:numCache>
                <c:formatCode>General</c:formatCode>
                <c:ptCount val="10"/>
                <c:pt idx="0">
                  <c:v>-1.690200369182854</c:v>
                </c:pt>
                <c:pt idx="1">
                  <c:v>-2.0599657025040656</c:v>
                </c:pt>
                <c:pt idx="2">
                  <c:v>-1.4533495731370607</c:v>
                </c:pt>
                <c:pt idx="3">
                  <c:v>-0.24373869974012052</c:v>
                </c:pt>
                <c:pt idx="4">
                  <c:v>0.39593156558828113</c:v>
                </c:pt>
                <c:pt idx="5">
                  <c:v>1.0516106113180221</c:v>
                </c:pt>
                <c:pt idx="6">
                  <c:v>3.4916933858400121</c:v>
                </c:pt>
                <c:pt idx="7">
                  <c:v>0.99252166127738306</c:v>
                </c:pt>
                <c:pt idx="8">
                  <c:v>0.8128805730590436</c:v>
                </c:pt>
                <c:pt idx="9">
                  <c:v>-1.2973834525186483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AE-4111-9C31-CB043CE7B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447088"/>
        <c:axId val="575449008"/>
      </c:scatterChart>
      <c:valAx>
        <c:axId val="575447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Variable 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49008"/>
        <c:crosses val="autoZero"/>
        <c:crossBetween val="midCat"/>
      </c:valAx>
      <c:valAx>
        <c:axId val="5754490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47088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X Variable 4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xVal>
            <c:numRef>
              <c:f>'Fig.4.9.6-4.9.8'!$E$2:$E$11</c:f>
              <c:numCache>
                <c:formatCode>General</c:formatCode>
                <c:ptCount val="10"/>
                <c:pt idx="0">
                  <c:v>12</c:v>
                </c:pt>
                <c:pt idx="1">
                  <c:v>13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14</c:v>
                </c:pt>
                <c:pt idx="6">
                  <c:v>11</c:v>
                </c:pt>
                <c:pt idx="7">
                  <c:v>15</c:v>
                </c:pt>
                <c:pt idx="8">
                  <c:v>13</c:v>
                </c:pt>
                <c:pt idx="9">
                  <c:v>16</c:v>
                </c:pt>
              </c:numCache>
            </c:numRef>
          </c:xVal>
          <c:yVal>
            <c:numRef>
              <c:f>'Fig.4.9.6-4.9.8'!$E$16:$E$25</c:f>
              <c:numCache>
                <c:formatCode>General</c:formatCode>
                <c:ptCount val="10"/>
                <c:pt idx="0">
                  <c:v>-1.690200369182854</c:v>
                </c:pt>
                <c:pt idx="1">
                  <c:v>-2.0599657025040656</c:v>
                </c:pt>
                <c:pt idx="2">
                  <c:v>-1.4533495731370607</c:v>
                </c:pt>
                <c:pt idx="3">
                  <c:v>-0.24373869974012052</c:v>
                </c:pt>
                <c:pt idx="4">
                  <c:v>0.39593156558828113</c:v>
                </c:pt>
                <c:pt idx="5">
                  <c:v>1.0516106113180221</c:v>
                </c:pt>
                <c:pt idx="6">
                  <c:v>3.4916933858400121</c:v>
                </c:pt>
                <c:pt idx="7">
                  <c:v>0.99252166127738306</c:v>
                </c:pt>
                <c:pt idx="8">
                  <c:v>0.8128805730590436</c:v>
                </c:pt>
                <c:pt idx="9">
                  <c:v>-1.2973834525186483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DCD-4AC8-822C-594248477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447568"/>
        <c:axId val="575451888"/>
      </c:scatterChart>
      <c:valAx>
        <c:axId val="575447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Variable 4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51888"/>
        <c:crosses val="autoZero"/>
        <c:crossBetween val="midCat"/>
      </c:valAx>
      <c:valAx>
        <c:axId val="5754518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47568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X Variable 1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38100">
              <a:noFill/>
            </a:ln>
          </c:spPr>
          <c:xVal>
            <c:numRef>
              <c:f>'Fig.4.9.6-4.9.8'!$B$2:$B$11</c:f>
              <c:numCache>
                <c:formatCode>General</c:formatCode>
                <c:ptCount val="10"/>
                <c:pt idx="0">
                  <c:v>2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6</c:v>
                </c:pt>
              </c:numCache>
            </c:numRef>
          </c:xVal>
          <c:yVal>
            <c:numRef>
              <c:f>'Fig.4.9.6-4.9.8'!$A$2:$A$11</c:f>
              <c:numCache>
                <c:formatCode>General</c:formatCode>
                <c:ptCount val="10"/>
                <c:pt idx="0">
                  <c:v>15</c:v>
                </c:pt>
                <c:pt idx="1">
                  <c:v>18</c:v>
                </c:pt>
                <c:pt idx="2">
                  <c:v>14</c:v>
                </c:pt>
                <c:pt idx="3">
                  <c:v>16</c:v>
                </c:pt>
                <c:pt idx="4">
                  <c:v>19</c:v>
                </c:pt>
                <c:pt idx="5">
                  <c:v>20</c:v>
                </c:pt>
                <c:pt idx="6">
                  <c:v>22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E-45BF-8041-EC6F047391E6}"/>
            </c:ext>
          </c:extLst>
        </c:ser>
        <c:ser>
          <c:idx val="1"/>
          <c:order val="1"/>
          <c:tx>
            <c:v>Predicted Y</c:v>
          </c:tx>
          <c:spPr>
            <a:ln w="38100">
              <a:noFill/>
            </a:ln>
          </c:spPr>
          <c:xVal>
            <c:numRef>
              <c:f>'Fig.4.9.6-4.9.8'!$B$2:$B$11</c:f>
              <c:numCache>
                <c:formatCode>General</c:formatCode>
                <c:ptCount val="10"/>
                <c:pt idx="0">
                  <c:v>2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6</c:v>
                </c:pt>
              </c:numCache>
            </c:numRef>
          </c:xVal>
          <c:yVal>
            <c:numRef>
              <c:f>'Fig.4.9.6-4.9.8'!$D$16:$D$25</c:f>
              <c:numCache>
                <c:formatCode>General</c:formatCode>
                <c:ptCount val="10"/>
                <c:pt idx="0">
                  <c:v>16.690200369182854</c:v>
                </c:pt>
                <c:pt idx="1">
                  <c:v>20.059965702504066</c:v>
                </c:pt>
                <c:pt idx="2">
                  <c:v>15.453349573137061</c:v>
                </c:pt>
                <c:pt idx="3">
                  <c:v>16.243738699740121</c:v>
                </c:pt>
                <c:pt idx="4">
                  <c:v>18.604068434411719</c:v>
                </c:pt>
                <c:pt idx="5">
                  <c:v>18.948389388681978</c:v>
                </c:pt>
                <c:pt idx="6">
                  <c:v>18.508306614159988</c:v>
                </c:pt>
                <c:pt idx="7">
                  <c:v>17.007478338722617</c:v>
                </c:pt>
                <c:pt idx="8">
                  <c:v>18.187119426940956</c:v>
                </c:pt>
                <c:pt idx="9">
                  <c:v>21.297383452518648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9E-45BF-8041-EC6F04739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455728"/>
        <c:axId val="575456208"/>
      </c:scatterChart>
      <c:valAx>
        <c:axId val="575455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Variable 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56208"/>
        <c:crosses val="autoZero"/>
        <c:crossBetween val="midCat"/>
      </c:valAx>
      <c:valAx>
        <c:axId val="575456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557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Score matrix from EVD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'Fig.4.1.7-4.1.9'!$A$20:$A$25</c:f>
              <c:numCache>
                <c:formatCode>0.00</c:formatCode>
                <c:ptCount val="6"/>
                <c:pt idx="0">
                  <c:v>-3.3002756860988129</c:v>
                </c:pt>
                <c:pt idx="1">
                  <c:v>-2.7079514304069434</c:v>
                </c:pt>
                <c:pt idx="2">
                  <c:v>2.8479768655487017</c:v>
                </c:pt>
                <c:pt idx="3">
                  <c:v>2.6473618476026233</c:v>
                </c:pt>
                <c:pt idx="4">
                  <c:v>-1.8169860170964101</c:v>
                </c:pt>
                <c:pt idx="5">
                  <c:v>2.3298744204508415</c:v>
                </c:pt>
              </c:numCache>
            </c:numRef>
          </c:xVal>
          <c:yVal>
            <c:numRef>
              <c:f>'Fig.4.1.7-4.1.9'!$B$20:$B$25</c:f>
              <c:numCache>
                <c:formatCode>0.00</c:formatCode>
                <c:ptCount val="6"/>
                <c:pt idx="0">
                  <c:v>-0.64636705103638437</c:v>
                </c:pt>
                <c:pt idx="1">
                  <c:v>0.88303046907758664</c:v>
                </c:pt>
                <c:pt idx="2">
                  <c:v>0.76923107741851393</c:v>
                </c:pt>
                <c:pt idx="3">
                  <c:v>-1.1950781239349073</c:v>
                </c:pt>
                <c:pt idx="4">
                  <c:v>-0.19057597708221108</c:v>
                </c:pt>
                <c:pt idx="5">
                  <c:v>0.37975960555740296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87-4B4D-A76B-25F4074226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405792"/>
        <c:axId val="1804389472"/>
      </c:scatterChart>
      <c:valAx>
        <c:axId val="1804405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389472"/>
        <c:crosses val="autoZero"/>
        <c:crossBetween val="midCat"/>
      </c:valAx>
      <c:valAx>
        <c:axId val="1804389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405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X Variable 2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38100">
              <a:noFill/>
            </a:ln>
          </c:spPr>
          <c:xVal>
            <c:numRef>
              <c:f>'Fig.4.9.6-4.9.8'!$C$2:$C$11</c:f>
              <c:numCache>
                <c:formatCode>General</c:formatCode>
                <c:ptCount val="10"/>
                <c:pt idx="0">
                  <c:v>22</c:v>
                </c:pt>
                <c:pt idx="1">
                  <c:v>32</c:v>
                </c:pt>
                <c:pt idx="2">
                  <c:v>24</c:v>
                </c:pt>
                <c:pt idx="3">
                  <c:v>18</c:v>
                </c:pt>
                <c:pt idx="4">
                  <c:v>24</c:v>
                </c:pt>
                <c:pt idx="5">
                  <c:v>31</c:v>
                </c:pt>
                <c:pt idx="6">
                  <c:v>28</c:v>
                </c:pt>
                <c:pt idx="7">
                  <c:v>18</c:v>
                </c:pt>
                <c:pt idx="8">
                  <c:v>21</c:v>
                </c:pt>
                <c:pt idx="9">
                  <c:v>25</c:v>
                </c:pt>
              </c:numCache>
            </c:numRef>
          </c:xVal>
          <c:yVal>
            <c:numRef>
              <c:f>'Fig.4.9.6-4.9.8'!$A$2:$A$11</c:f>
              <c:numCache>
                <c:formatCode>General</c:formatCode>
                <c:ptCount val="10"/>
                <c:pt idx="0">
                  <c:v>15</c:v>
                </c:pt>
                <c:pt idx="1">
                  <c:v>18</c:v>
                </c:pt>
                <c:pt idx="2">
                  <c:v>14</c:v>
                </c:pt>
                <c:pt idx="3">
                  <c:v>16</c:v>
                </c:pt>
                <c:pt idx="4">
                  <c:v>19</c:v>
                </c:pt>
                <c:pt idx="5">
                  <c:v>20</c:v>
                </c:pt>
                <c:pt idx="6">
                  <c:v>22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FC-48E5-80CF-1B2329A35498}"/>
            </c:ext>
          </c:extLst>
        </c:ser>
        <c:ser>
          <c:idx val="1"/>
          <c:order val="1"/>
          <c:tx>
            <c:v>Predicted Y</c:v>
          </c:tx>
          <c:spPr>
            <a:ln w="38100">
              <a:noFill/>
            </a:ln>
          </c:spPr>
          <c:xVal>
            <c:numRef>
              <c:f>'Fig.4.9.6-4.9.8'!$C$2:$C$11</c:f>
              <c:numCache>
                <c:formatCode>General</c:formatCode>
                <c:ptCount val="10"/>
                <c:pt idx="0">
                  <c:v>22</c:v>
                </c:pt>
                <c:pt idx="1">
                  <c:v>32</c:v>
                </c:pt>
                <c:pt idx="2">
                  <c:v>24</c:v>
                </c:pt>
                <c:pt idx="3">
                  <c:v>18</c:v>
                </c:pt>
                <c:pt idx="4">
                  <c:v>24</c:v>
                </c:pt>
                <c:pt idx="5">
                  <c:v>31</c:v>
                </c:pt>
                <c:pt idx="6">
                  <c:v>28</c:v>
                </c:pt>
                <c:pt idx="7">
                  <c:v>18</c:v>
                </c:pt>
                <c:pt idx="8">
                  <c:v>21</c:v>
                </c:pt>
                <c:pt idx="9">
                  <c:v>25</c:v>
                </c:pt>
              </c:numCache>
            </c:numRef>
          </c:xVal>
          <c:yVal>
            <c:numRef>
              <c:f>'Fig.4.9.6-4.9.8'!$D$16:$D$25</c:f>
              <c:numCache>
                <c:formatCode>General</c:formatCode>
                <c:ptCount val="10"/>
                <c:pt idx="0">
                  <c:v>16.690200369182854</c:v>
                </c:pt>
                <c:pt idx="1">
                  <c:v>20.059965702504066</c:v>
                </c:pt>
                <c:pt idx="2">
                  <c:v>15.453349573137061</c:v>
                </c:pt>
                <c:pt idx="3">
                  <c:v>16.243738699740121</c:v>
                </c:pt>
                <c:pt idx="4">
                  <c:v>18.604068434411719</c:v>
                </c:pt>
                <c:pt idx="5">
                  <c:v>18.948389388681978</c:v>
                </c:pt>
                <c:pt idx="6">
                  <c:v>18.508306614159988</c:v>
                </c:pt>
                <c:pt idx="7">
                  <c:v>17.007478338722617</c:v>
                </c:pt>
                <c:pt idx="8">
                  <c:v>18.187119426940956</c:v>
                </c:pt>
                <c:pt idx="9">
                  <c:v>21.297383452518648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9FC-48E5-80CF-1B2329A35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459568"/>
        <c:axId val="575463408"/>
      </c:scatterChart>
      <c:valAx>
        <c:axId val="575459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Variable 2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63408"/>
        <c:crosses val="autoZero"/>
        <c:crossBetween val="midCat"/>
      </c:valAx>
      <c:valAx>
        <c:axId val="5754634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595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X Variable 3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38100">
              <a:noFill/>
            </a:ln>
          </c:spPr>
          <c:xVal>
            <c:numRef>
              <c:f>'Fig.4.9.6-4.9.8'!$D$2:$D$11</c:f>
              <c:numCache>
                <c:formatCode>General</c:formatCode>
                <c:ptCount val="10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9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8</c:v>
                </c:pt>
              </c:numCache>
            </c:numRef>
          </c:xVal>
          <c:yVal>
            <c:numRef>
              <c:f>'Fig.4.9.6-4.9.8'!$A$2:$A$11</c:f>
              <c:numCache>
                <c:formatCode>General</c:formatCode>
                <c:ptCount val="10"/>
                <c:pt idx="0">
                  <c:v>15</c:v>
                </c:pt>
                <c:pt idx="1">
                  <c:v>18</c:v>
                </c:pt>
                <c:pt idx="2">
                  <c:v>14</c:v>
                </c:pt>
                <c:pt idx="3">
                  <c:v>16</c:v>
                </c:pt>
                <c:pt idx="4">
                  <c:v>19</c:v>
                </c:pt>
                <c:pt idx="5">
                  <c:v>20</c:v>
                </c:pt>
                <c:pt idx="6">
                  <c:v>22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B8-4CB8-A7F6-B6A0B7BEBD28}"/>
            </c:ext>
          </c:extLst>
        </c:ser>
        <c:ser>
          <c:idx val="1"/>
          <c:order val="1"/>
          <c:tx>
            <c:v>Predicted Y</c:v>
          </c:tx>
          <c:spPr>
            <a:ln w="38100">
              <a:noFill/>
            </a:ln>
          </c:spPr>
          <c:xVal>
            <c:numRef>
              <c:f>'Fig.4.9.6-4.9.8'!$D$2:$D$11</c:f>
              <c:numCache>
                <c:formatCode>General</c:formatCode>
                <c:ptCount val="10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9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6</c:v>
                </c:pt>
                <c:pt idx="8">
                  <c:v>9</c:v>
                </c:pt>
                <c:pt idx="9">
                  <c:v>8</c:v>
                </c:pt>
              </c:numCache>
            </c:numRef>
          </c:xVal>
          <c:yVal>
            <c:numRef>
              <c:f>'Fig.4.9.6-4.9.8'!$D$16:$D$25</c:f>
              <c:numCache>
                <c:formatCode>General</c:formatCode>
                <c:ptCount val="10"/>
                <c:pt idx="0">
                  <c:v>16.690200369182854</c:v>
                </c:pt>
                <c:pt idx="1">
                  <c:v>20.059965702504066</c:v>
                </c:pt>
                <c:pt idx="2">
                  <c:v>15.453349573137061</c:v>
                </c:pt>
                <c:pt idx="3">
                  <c:v>16.243738699740121</c:v>
                </c:pt>
                <c:pt idx="4">
                  <c:v>18.604068434411719</c:v>
                </c:pt>
                <c:pt idx="5">
                  <c:v>18.948389388681978</c:v>
                </c:pt>
                <c:pt idx="6">
                  <c:v>18.508306614159988</c:v>
                </c:pt>
                <c:pt idx="7">
                  <c:v>17.007478338722617</c:v>
                </c:pt>
                <c:pt idx="8">
                  <c:v>18.187119426940956</c:v>
                </c:pt>
                <c:pt idx="9">
                  <c:v>21.297383452518648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B8-4CB8-A7F6-B6A0B7BEB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462448"/>
        <c:axId val="575462928"/>
      </c:scatterChart>
      <c:valAx>
        <c:axId val="575462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Variable 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62928"/>
        <c:crosses val="autoZero"/>
        <c:crossBetween val="midCat"/>
      </c:valAx>
      <c:valAx>
        <c:axId val="5754629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6244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X Variable 4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38100">
              <a:noFill/>
            </a:ln>
          </c:spPr>
          <c:xVal>
            <c:numRef>
              <c:f>'Fig.4.9.6-4.9.8'!$E$2:$E$11</c:f>
              <c:numCache>
                <c:formatCode>General</c:formatCode>
                <c:ptCount val="10"/>
                <c:pt idx="0">
                  <c:v>12</c:v>
                </c:pt>
                <c:pt idx="1">
                  <c:v>13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14</c:v>
                </c:pt>
                <c:pt idx="6">
                  <c:v>11</c:v>
                </c:pt>
                <c:pt idx="7">
                  <c:v>15</c:v>
                </c:pt>
                <c:pt idx="8">
                  <c:v>13</c:v>
                </c:pt>
                <c:pt idx="9">
                  <c:v>16</c:v>
                </c:pt>
              </c:numCache>
            </c:numRef>
          </c:xVal>
          <c:yVal>
            <c:numRef>
              <c:f>'Fig.4.9.6-4.9.8'!$A$2:$A$11</c:f>
              <c:numCache>
                <c:formatCode>General</c:formatCode>
                <c:ptCount val="10"/>
                <c:pt idx="0">
                  <c:v>15</c:v>
                </c:pt>
                <c:pt idx="1">
                  <c:v>18</c:v>
                </c:pt>
                <c:pt idx="2">
                  <c:v>14</c:v>
                </c:pt>
                <c:pt idx="3">
                  <c:v>16</c:v>
                </c:pt>
                <c:pt idx="4">
                  <c:v>19</c:v>
                </c:pt>
                <c:pt idx="5">
                  <c:v>20</c:v>
                </c:pt>
                <c:pt idx="6">
                  <c:v>22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72-4E15-BB66-725C01B3D4F8}"/>
            </c:ext>
          </c:extLst>
        </c:ser>
        <c:ser>
          <c:idx val="1"/>
          <c:order val="1"/>
          <c:tx>
            <c:v>Predicted Y</c:v>
          </c:tx>
          <c:spPr>
            <a:ln w="38100">
              <a:noFill/>
            </a:ln>
          </c:spPr>
          <c:xVal>
            <c:numRef>
              <c:f>'Fig.4.9.6-4.9.8'!$E$2:$E$11</c:f>
              <c:numCache>
                <c:formatCode>General</c:formatCode>
                <c:ptCount val="10"/>
                <c:pt idx="0">
                  <c:v>12</c:v>
                </c:pt>
                <c:pt idx="1">
                  <c:v>13</c:v>
                </c:pt>
                <c:pt idx="2">
                  <c:v>9</c:v>
                </c:pt>
                <c:pt idx="3">
                  <c:v>10</c:v>
                </c:pt>
                <c:pt idx="4">
                  <c:v>12</c:v>
                </c:pt>
                <c:pt idx="5">
                  <c:v>14</c:v>
                </c:pt>
                <c:pt idx="6">
                  <c:v>11</c:v>
                </c:pt>
                <c:pt idx="7">
                  <c:v>15</c:v>
                </c:pt>
                <c:pt idx="8">
                  <c:v>13</c:v>
                </c:pt>
                <c:pt idx="9">
                  <c:v>16</c:v>
                </c:pt>
              </c:numCache>
            </c:numRef>
          </c:xVal>
          <c:yVal>
            <c:numRef>
              <c:f>'Fig.4.9.6-4.9.8'!$D$16:$D$25</c:f>
              <c:numCache>
                <c:formatCode>General</c:formatCode>
                <c:ptCount val="10"/>
                <c:pt idx="0">
                  <c:v>16.690200369182854</c:v>
                </c:pt>
                <c:pt idx="1">
                  <c:v>20.059965702504066</c:v>
                </c:pt>
                <c:pt idx="2">
                  <c:v>15.453349573137061</c:v>
                </c:pt>
                <c:pt idx="3">
                  <c:v>16.243738699740121</c:v>
                </c:pt>
                <c:pt idx="4">
                  <c:v>18.604068434411719</c:v>
                </c:pt>
                <c:pt idx="5">
                  <c:v>18.948389388681978</c:v>
                </c:pt>
                <c:pt idx="6">
                  <c:v>18.508306614159988</c:v>
                </c:pt>
                <c:pt idx="7">
                  <c:v>17.007478338722617</c:v>
                </c:pt>
                <c:pt idx="8">
                  <c:v>18.187119426940956</c:v>
                </c:pt>
                <c:pt idx="9">
                  <c:v>21.297383452518648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72-4E15-BB66-725C01B3D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412048"/>
        <c:axId val="575402928"/>
      </c:scatterChart>
      <c:valAx>
        <c:axId val="575412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Variable 4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02928"/>
        <c:crosses val="autoZero"/>
        <c:crossBetween val="midCat"/>
      </c:valAx>
      <c:valAx>
        <c:axId val="5754029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7541204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Score matrix from SVD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'Fig.4.1.7-4.1.9'!$F$20:$F$25</c:f>
              <c:numCache>
                <c:formatCode>0.00</c:formatCode>
                <c:ptCount val="6"/>
                <c:pt idx="0">
                  <c:v>3.3002756860988138</c:v>
                </c:pt>
                <c:pt idx="1">
                  <c:v>2.7079514304069439</c:v>
                </c:pt>
                <c:pt idx="2">
                  <c:v>-2.8479768655487017</c:v>
                </c:pt>
                <c:pt idx="3">
                  <c:v>-2.6473618476026233</c:v>
                </c:pt>
                <c:pt idx="4">
                  <c:v>1.8169860170964105</c:v>
                </c:pt>
                <c:pt idx="5">
                  <c:v>-2.3298744204508401</c:v>
                </c:pt>
              </c:numCache>
            </c:numRef>
          </c:xVal>
          <c:yVal>
            <c:numRef>
              <c:f>'Fig.4.1.7-4.1.9'!$G$20:$G$25</c:f>
              <c:numCache>
                <c:formatCode>0.00</c:formatCode>
                <c:ptCount val="6"/>
                <c:pt idx="0">
                  <c:v>0.64636705103638414</c:v>
                </c:pt>
                <c:pt idx="1">
                  <c:v>-0.88303046907758653</c:v>
                </c:pt>
                <c:pt idx="2">
                  <c:v>-0.76923107741851326</c:v>
                </c:pt>
                <c:pt idx="3">
                  <c:v>1.1950781239349055</c:v>
                </c:pt>
                <c:pt idx="4">
                  <c:v>0.19057597708221052</c:v>
                </c:pt>
                <c:pt idx="5">
                  <c:v>-0.3797596055574024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2C-45ED-B962-C49A839D8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429312"/>
        <c:axId val="1804435072"/>
      </c:scatterChart>
      <c:valAx>
        <c:axId val="1804429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435072"/>
        <c:crosses val="autoZero"/>
        <c:crossBetween val="midCat"/>
      </c:valAx>
      <c:valAx>
        <c:axId val="1804435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429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'Fig.4.2.2-4.2.10'!$H$2</c:f>
              <c:strCache>
                <c:ptCount val="1"/>
                <c:pt idx="0">
                  <c:v>Eigenvalues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'Fig.4.2.2-4.2.10'!$H$3:$H$6</c:f>
              <c:numCache>
                <c:formatCode>General</c:formatCode>
                <c:ptCount val="4"/>
                <c:pt idx="0">
                  <c:v>3.6377623911311954</c:v>
                </c:pt>
                <c:pt idx="1">
                  <c:v>0.29683287478026638</c:v>
                </c:pt>
                <c:pt idx="2">
                  <c:v>4.2889677449110965E-2</c:v>
                </c:pt>
                <c:pt idx="3">
                  <c:v>2.2515056639427933E-2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8D-44FF-B845-9FF4CD129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4689071"/>
        <c:axId val="864689551"/>
      </c:lineChart>
      <c:catAx>
        <c:axId val="8646890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689551"/>
        <c:crosses val="autoZero"/>
        <c:auto val="1"/>
        <c:lblAlgn val="ctr"/>
        <c:lblOffset val="100"/>
        <c:noMultiLvlLbl val="0"/>
      </c:catAx>
      <c:valAx>
        <c:axId val="86468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689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Scree Plot</c:v>
          </c:tx>
          <c:val>
            <c:numRef>
              <c:f>'Fig.4.2.11-4.2.13'!$I$61:$I$64</c:f>
              <c:numCache>
                <c:formatCode>0.00%</c:formatCode>
                <c:ptCount val="4"/>
                <c:pt idx="0">
                  <c:v>0.90944059778279884</c:v>
                </c:pt>
                <c:pt idx="1">
                  <c:v>7.4208218695066594E-2</c:v>
                </c:pt>
                <c:pt idx="2">
                  <c:v>1.0722419362277741E-2</c:v>
                </c:pt>
                <c:pt idx="3">
                  <c:v>5.6287641598569832E-3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8-4794-A1F6-C4F3FCCD2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788432"/>
        <c:axId val="560787472"/>
      </c:lineChart>
      <c:catAx>
        <c:axId val="560788432"/>
        <c:scaling>
          <c:orientation val="minMax"/>
        </c:scaling>
        <c:delete val="0"/>
        <c:axPos val="b"/>
        <c:majorTickMark val="out"/>
        <c:minorTickMark val="none"/>
        <c:tickLblPos val="nextTo"/>
        <c:crossAx val="560787472"/>
        <c:crosses val="autoZero"/>
        <c:auto val="1"/>
        <c:lblAlgn val="ctr"/>
        <c:lblOffset val="100"/>
        <c:noMultiLvlLbl val="0"/>
      </c:catAx>
      <c:valAx>
        <c:axId val="56078747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560788432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'Fig.4.4.4-4.4.8'!$R$2</c:f>
              <c:strCache>
                <c:ptCount val="1"/>
                <c:pt idx="0">
                  <c:v>Data projection on Q1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B31F-41BC-8FC4-12FEE0B8B10D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B31F-41BC-8FC4-12FEE0B8B10D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31F-41BC-8FC4-12FEE0B8B10D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B31F-41BC-8FC4-12FEE0B8B10D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B31F-41BC-8FC4-12FEE0B8B10D}"/>
              </c:ext>
            </c:extLst>
          </c:dPt>
          <c:yVal>
            <c:numRef>
              <c:f>'Fig.4.4.4-4.4.8'!$R$3:$R$11</c:f>
              <c:numCache>
                <c:formatCode>0.00</c:formatCode>
                <c:ptCount val="9"/>
                <c:pt idx="0">
                  <c:v>19.443707973873181</c:v>
                </c:pt>
                <c:pt idx="1">
                  <c:v>19.220369757873279</c:v>
                </c:pt>
                <c:pt idx="2">
                  <c:v>21.414438466346525</c:v>
                </c:pt>
                <c:pt idx="3">
                  <c:v>19.913674795149308</c:v>
                </c:pt>
                <c:pt idx="4">
                  <c:v>19.918985466527168</c:v>
                </c:pt>
                <c:pt idx="5">
                  <c:v>15.202106347564218</c:v>
                </c:pt>
                <c:pt idx="6">
                  <c:v>17.001960618725306</c:v>
                </c:pt>
                <c:pt idx="7">
                  <c:v>14.329174978347327</c:v>
                </c:pt>
                <c:pt idx="8">
                  <c:v>15.547488411025192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31F-41BC-8FC4-12FEE0B8B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7141072"/>
        <c:axId val="1437141552"/>
      </c:scatterChart>
      <c:valAx>
        <c:axId val="1437141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7141552"/>
        <c:crosses val="autoZero"/>
        <c:crossBetween val="midCat"/>
      </c:valAx>
      <c:valAx>
        <c:axId val="1437141552"/>
        <c:scaling>
          <c:orientation val="minMax"/>
          <c:min val="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7141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Data Projection on Q</a:t>
            </a:r>
            <a:r>
              <a:rPr lang="en-GB" baseline="-25000"/>
              <a:t>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2">
                    <a:lumMod val="20000"/>
                    <a:lumOff val="8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961D-4490-B4B7-4E03815E6717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2">
                    <a:lumMod val="20000"/>
                    <a:lumOff val="8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61D-4490-B4B7-4E03815E6717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2">
                    <a:lumMod val="20000"/>
                    <a:lumOff val="8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961D-4490-B4B7-4E03815E6717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2">
                    <a:lumMod val="20000"/>
                    <a:lumOff val="8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61D-4490-B4B7-4E03815E6717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rgbClr val="00B05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61D-4490-B4B7-4E03815E6717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6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961D-4490-B4B7-4E03815E6717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rgbClr val="00B05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961D-4490-B4B7-4E03815E6717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6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961D-4490-B4B7-4E03815E6717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961D-4490-B4B7-4E03815E6717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961D-4490-B4B7-4E03815E6717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961D-4490-B4B7-4E03815E6717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2">
                    <a:lumMod val="20000"/>
                    <a:lumOff val="8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961D-4490-B4B7-4E03815E6717}"/>
              </c:ext>
            </c:extLst>
          </c:dPt>
          <c:dPt>
            <c:idx val="19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961D-4490-B4B7-4E03815E6717}"/>
              </c:ext>
            </c:extLst>
          </c:dPt>
          <c:xVal>
            <c:numRef>
              <c:f>'Fig.4.4.9'!$U$3:$U$22</c:f>
              <c:numCache>
                <c:formatCode>0.00</c:formatCode>
                <c:ptCount val="20"/>
                <c:pt idx="0">
                  <c:v>45.492608781354107</c:v>
                </c:pt>
                <c:pt idx="1">
                  <c:v>46.498891166253443</c:v>
                </c:pt>
                <c:pt idx="2">
                  <c:v>50.712900002933708</c:v>
                </c:pt>
                <c:pt idx="3">
                  <c:v>50.55503858302113</c:v>
                </c:pt>
                <c:pt idx="4">
                  <c:v>43.954804570961358</c:v>
                </c:pt>
                <c:pt idx="5">
                  <c:v>41.136981424245334</c:v>
                </c:pt>
                <c:pt idx="6">
                  <c:v>42.428113546982033</c:v>
                </c:pt>
                <c:pt idx="7">
                  <c:v>40.685092316458388</c:v>
                </c:pt>
                <c:pt idx="8">
                  <c:v>37.779103580791038</c:v>
                </c:pt>
                <c:pt idx="9">
                  <c:v>46.358562803409214</c:v>
                </c:pt>
                <c:pt idx="10">
                  <c:v>43.513383570795696</c:v>
                </c:pt>
                <c:pt idx="11">
                  <c:v>47.478462544047431</c:v>
                </c:pt>
                <c:pt idx="12">
                  <c:v>43.055719671145972</c:v>
                </c:pt>
                <c:pt idx="13">
                  <c:v>46.516101683925726</c:v>
                </c:pt>
                <c:pt idx="14">
                  <c:v>49.643872878604114</c:v>
                </c:pt>
                <c:pt idx="15">
                  <c:v>44.323012724075475</c:v>
                </c:pt>
                <c:pt idx="16">
                  <c:v>45.645985566988166</c:v>
                </c:pt>
                <c:pt idx="17">
                  <c:v>46.289834590636183</c:v>
                </c:pt>
                <c:pt idx="18">
                  <c:v>43.665792738241571</c:v>
                </c:pt>
                <c:pt idx="19">
                  <c:v>50.056970174684068</c:v>
                </c:pt>
              </c:numCache>
            </c:numRef>
          </c:xVal>
          <c:yVal>
            <c:numRef>
              <c:f>'Fig.4.4.9'!$U$3:$U$22</c:f>
              <c:numCache>
                <c:formatCode>0.00</c:formatCode>
                <c:ptCount val="20"/>
                <c:pt idx="0">
                  <c:v>45.492608781354107</c:v>
                </c:pt>
                <c:pt idx="1">
                  <c:v>46.498891166253443</c:v>
                </c:pt>
                <c:pt idx="2">
                  <c:v>50.712900002933708</c:v>
                </c:pt>
                <c:pt idx="3">
                  <c:v>50.55503858302113</c:v>
                </c:pt>
                <c:pt idx="4">
                  <c:v>43.954804570961358</c:v>
                </c:pt>
                <c:pt idx="5">
                  <c:v>41.136981424245334</c:v>
                </c:pt>
                <c:pt idx="6">
                  <c:v>42.428113546982033</c:v>
                </c:pt>
                <c:pt idx="7">
                  <c:v>40.685092316458388</c:v>
                </c:pt>
                <c:pt idx="8">
                  <c:v>37.779103580791038</c:v>
                </c:pt>
                <c:pt idx="9">
                  <c:v>46.358562803409214</c:v>
                </c:pt>
                <c:pt idx="10">
                  <c:v>43.513383570795696</c:v>
                </c:pt>
                <c:pt idx="11">
                  <c:v>47.478462544047431</c:v>
                </c:pt>
                <c:pt idx="12">
                  <c:v>43.055719671145972</c:v>
                </c:pt>
                <c:pt idx="13">
                  <c:v>46.516101683925726</c:v>
                </c:pt>
                <c:pt idx="14">
                  <c:v>49.643872878604114</c:v>
                </c:pt>
                <c:pt idx="15">
                  <c:v>44.323012724075475</c:v>
                </c:pt>
                <c:pt idx="16">
                  <c:v>45.645985566988166</c:v>
                </c:pt>
                <c:pt idx="17">
                  <c:v>46.289834590636183</c:v>
                </c:pt>
                <c:pt idx="18">
                  <c:v>43.665792738241571</c:v>
                </c:pt>
                <c:pt idx="19">
                  <c:v>50.056970174684068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961D-4490-B4B7-4E03815E6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4308704"/>
        <c:axId val="854321184"/>
      </c:scatterChart>
      <c:valAx>
        <c:axId val="854308704"/>
        <c:scaling>
          <c:orientation val="minMax"/>
          <c:min val="3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321184"/>
        <c:crosses val="autoZero"/>
        <c:crossBetween val="midCat"/>
      </c:valAx>
      <c:valAx>
        <c:axId val="854321184"/>
        <c:scaling>
          <c:orientation val="minMax"/>
          <c:min val="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308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Site means in Canonical space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'Fig.4.4.19-4.4.21'!$X$4</c:f>
              <c:strCache>
                <c:ptCount val="1"/>
                <c:pt idx="0">
                  <c:v>CN. 2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'Fig.4.4.19-4.4.21'!$W$5:$W$8</c:f>
              <c:numCache>
                <c:formatCode>0.00</c:formatCode>
                <c:ptCount val="4"/>
                <c:pt idx="0">
                  <c:v>47.442848620904748</c:v>
                </c:pt>
                <c:pt idx="1">
                  <c:v>41.677570734377198</c:v>
                </c:pt>
                <c:pt idx="2">
                  <c:v>46.041508069703788</c:v>
                </c:pt>
                <c:pt idx="3">
                  <c:v>45.99631915892509</c:v>
                </c:pt>
              </c:numCache>
            </c:numRef>
          </c:xVal>
          <c:yVal>
            <c:numRef>
              <c:f>'Fig.4.4.19-4.4.21'!$X$5:$X$8</c:f>
              <c:numCache>
                <c:formatCode>0.00</c:formatCode>
                <c:ptCount val="4"/>
                <c:pt idx="0">
                  <c:v>17.774745334104544</c:v>
                </c:pt>
                <c:pt idx="1">
                  <c:v>18.946840557631127</c:v>
                </c:pt>
                <c:pt idx="2">
                  <c:v>21.042403296151072</c:v>
                </c:pt>
                <c:pt idx="3">
                  <c:v>20.288328202122397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CB-41D0-B3BD-B359CF4EC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6166623"/>
        <c:axId val="586181503"/>
      </c:scatterChart>
      <c:valAx>
        <c:axId val="5861666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6181503"/>
        <c:crosses val="autoZero"/>
        <c:crossBetween val="midCat"/>
      </c:valAx>
      <c:valAx>
        <c:axId val="586181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61666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image" Target="../media/image13.png"/><Relationship Id="rId1" Type="http://schemas.openxmlformats.org/officeDocument/2006/relationships/image" Target="../media/image12.png"/><Relationship Id="rId4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4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1.png"/><Relationship Id="rId3" Type="http://schemas.openxmlformats.org/officeDocument/2006/relationships/image" Target="../media/image16.png"/><Relationship Id="rId7" Type="http://schemas.openxmlformats.org/officeDocument/2006/relationships/image" Target="../media/image20.png"/><Relationship Id="rId2" Type="http://schemas.openxmlformats.org/officeDocument/2006/relationships/image" Target="../media/image15.png"/><Relationship Id="rId1" Type="http://schemas.openxmlformats.org/officeDocument/2006/relationships/image" Target="../media/image14.png"/><Relationship Id="rId6" Type="http://schemas.openxmlformats.org/officeDocument/2006/relationships/image" Target="../media/image19.png"/><Relationship Id="rId11" Type="http://schemas.openxmlformats.org/officeDocument/2006/relationships/image" Target="../media/image24.png"/><Relationship Id="rId5" Type="http://schemas.openxmlformats.org/officeDocument/2006/relationships/image" Target="../media/image18.png"/><Relationship Id="rId10" Type="http://schemas.openxmlformats.org/officeDocument/2006/relationships/image" Target="../media/image23.png"/><Relationship Id="rId4" Type="http://schemas.openxmlformats.org/officeDocument/2006/relationships/image" Target="../media/image17.png"/><Relationship Id="rId9" Type="http://schemas.openxmlformats.org/officeDocument/2006/relationships/image" Target="../media/image22.png"/></Relationships>
</file>

<file path=xl/drawings/_rels/drawing2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chart" Target="../charts/chart7.xml"/><Relationship Id="rId1" Type="http://schemas.openxmlformats.org/officeDocument/2006/relationships/image" Target="../media/image4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581025</xdr:colOff>
      <xdr:row>16</xdr:row>
      <xdr:rowOff>57150</xdr:rowOff>
    </xdr:from>
    <xdr:to>
      <xdr:col>35</xdr:col>
      <xdr:colOff>276225</xdr:colOff>
      <xdr:row>31</xdr:row>
      <xdr:rowOff>142875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52F73A3-2217-42C8-AEAF-0B79116D80C3}"/>
            </a:ext>
          </a:extLst>
        </xdr:cNvPr>
        <xdr:cNvGrpSpPr/>
      </xdr:nvGrpSpPr>
      <xdr:grpSpPr>
        <a:xfrm>
          <a:off x="17002125" y="2983230"/>
          <a:ext cx="4572000" cy="2828925"/>
          <a:chOff x="16554450" y="3152775"/>
          <a:chExt cx="4572000" cy="275272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1FF7C6C0-E999-D8A6-24E1-7E0C82EF071B}"/>
              </a:ext>
            </a:extLst>
          </xdr:cNvPr>
          <xdr:cNvGraphicFramePr/>
        </xdr:nvGraphicFramePr>
        <xdr:xfrm>
          <a:off x="16554450" y="3152775"/>
          <a:ext cx="4572000" cy="27527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95BDB956-75DA-3FF6-FFA7-37B163E454E3}"/>
              </a:ext>
            </a:extLst>
          </xdr:cNvPr>
          <xdr:cNvSpPr txBox="1"/>
        </xdr:nvSpPr>
        <xdr:spPr>
          <a:xfrm>
            <a:off x="16983075" y="5027689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P1</a:t>
            </a: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90E03CEF-8C36-A849-355B-F78F0EEC7232}"/>
              </a:ext>
            </a:extLst>
          </xdr:cNvPr>
          <xdr:cNvSpPr txBox="1"/>
        </xdr:nvSpPr>
        <xdr:spPr>
          <a:xfrm>
            <a:off x="17306925" y="3710219"/>
            <a:ext cx="35242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P2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23981B9D-C56A-27B7-1F95-462931AA8948}"/>
              </a:ext>
            </a:extLst>
          </xdr:cNvPr>
          <xdr:cNvSpPr txBox="1"/>
        </xdr:nvSpPr>
        <xdr:spPr>
          <a:xfrm>
            <a:off x="20135850" y="3762375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P3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11D84B70-9ED2-1B0D-932F-AE613A66042C}"/>
              </a:ext>
            </a:extLst>
          </xdr:cNvPr>
          <xdr:cNvSpPr txBox="1"/>
        </xdr:nvSpPr>
        <xdr:spPr>
          <a:xfrm>
            <a:off x="20059650" y="5286653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P4</a:t>
            </a: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FCA42579-4736-0495-A361-B0418C9A651D}"/>
              </a:ext>
            </a:extLst>
          </xdr:cNvPr>
          <xdr:cNvSpPr txBox="1"/>
        </xdr:nvSpPr>
        <xdr:spPr>
          <a:xfrm>
            <a:off x="17764125" y="4615371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P5</a:t>
            </a:r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ABF8C7F-DAD1-A56D-355D-C3AD8E65238A}"/>
              </a:ext>
            </a:extLst>
          </xdr:cNvPr>
          <xdr:cNvSpPr txBox="1"/>
        </xdr:nvSpPr>
        <xdr:spPr>
          <a:xfrm>
            <a:off x="19812000" y="4120411"/>
            <a:ext cx="352425" cy="2476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P6</a:t>
            </a:r>
          </a:p>
        </xdr:txBody>
      </xdr:sp>
    </xdr:grpSp>
    <xdr:clientData/>
  </xdr:twoCellAnchor>
  <xdr:twoCellAnchor>
    <xdr:from>
      <xdr:col>27</xdr:col>
      <xdr:colOff>314325</xdr:colOff>
      <xdr:row>0</xdr:row>
      <xdr:rowOff>114300</xdr:rowOff>
    </xdr:from>
    <xdr:to>
      <xdr:col>35</xdr:col>
      <xdr:colOff>9525</xdr:colOff>
      <xdr:row>14</xdr:row>
      <xdr:rowOff>152400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E8214C8B-1D79-4062-9A52-D4C3A82B30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438150</xdr:colOff>
      <xdr:row>9</xdr:row>
      <xdr:rowOff>152400</xdr:rowOff>
    </xdr:from>
    <xdr:to>
      <xdr:col>3</xdr:col>
      <xdr:colOff>219075</xdr:colOff>
      <xdr:row>11</xdr:row>
      <xdr:rowOff>123825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754CD466-0B2F-406B-B3ED-89D87B53DC0C}"/>
            </a:ext>
          </a:extLst>
        </xdr:cNvPr>
        <xdr:cNvSpPr/>
      </xdr:nvSpPr>
      <xdr:spPr>
        <a:xfrm>
          <a:off x="1657350" y="1866900"/>
          <a:ext cx="390525" cy="352425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</a:t>
          </a:r>
        </a:p>
      </xdr:txBody>
    </xdr:sp>
    <xdr:clientData/>
  </xdr:twoCellAnchor>
  <xdr:twoCellAnchor>
    <xdr:from>
      <xdr:col>7</xdr:col>
      <xdr:colOff>466725</xdr:colOff>
      <xdr:row>6</xdr:row>
      <xdr:rowOff>47625</xdr:rowOff>
    </xdr:from>
    <xdr:to>
      <xdr:col>8</xdr:col>
      <xdr:colOff>247650</xdr:colOff>
      <xdr:row>8</xdr:row>
      <xdr:rowOff>47625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6C427CB9-E9BB-4B64-8193-95C0B7561E9A}"/>
            </a:ext>
          </a:extLst>
        </xdr:cNvPr>
        <xdr:cNvSpPr/>
      </xdr:nvSpPr>
      <xdr:spPr>
        <a:xfrm>
          <a:off x="4733925" y="1190625"/>
          <a:ext cx="390525" cy="381000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2</a:t>
          </a:r>
        </a:p>
      </xdr:txBody>
    </xdr:sp>
    <xdr:clientData/>
  </xdr:twoCellAnchor>
  <xdr:twoCellAnchor>
    <xdr:from>
      <xdr:col>17</xdr:col>
      <xdr:colOff>66675</xdr:colOff>
      <xdr:row>3</xdr:row>
      <xdr:rowOff>66675</xdr:rowOff>
    </xdr:from>
    <xdr:to>
      <xdr:col>17</xdr:col>
      <xdr:colOff>457200</xdr:colOff>
      <xdr:row>5</xdr:row>
      <xdr:rowOff>66675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660314A8-6A1C-4B8E-8E01-1D58AD92D5CB}"/>
            </a:ext>
          </a:extLst>
        </xdr:cNvPr>
        <xdr:cNvSpPr/>
      </xdr:nvSpPr>
      <xdr:spPr>
        <a:xfrm>
          <a:off x="10429875" y="638175"/>
          <a:ext cx="390525" cy="381000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3</a:t>
          </a:r>
        </a:p>
      </xdr:txBody>
    </xdr:sp>
    <xdr:clientData/>
  </xdr:twoCellAnchor>
  <xdr:twoCellAnchor>
    <xdr:from>
      <xdr:col>20</xdr:col>
      <xdr:colOff>228600</xdr:colOff>
      <xdr:row>2</xdr:row>
      <xdr:rowOff>85725</xdr:rowOff>
    </xdr:from>
    <xdr:to>
      <xdr:col>21</xdr:col>
      <xdr:colOff>9525</xdr:colOff>
      <xdr:row>4</xdr:row>
      <xdr:rowOff>85725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42F8AB94-D547-42AC-AAC1-3C234594B457}"/>
            </a:ext>
          </a:extLst>
        </xdr:cNvPr>
        <xdr:cNvSpPr/>
      </xdr:nvSpPr>
      <xdr:spPr>
        <a:xfrm>
          <a:off x="12420600" y="466725"/>
          <a:ext cx="390525" cy="381000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4v</a:t>
          </a:r>
        </a:p>
      </xdr:txBody>
    </xdr:sp>
    <xdr:clientData/>
  </xdr:twoCellAnchor>
  <xdr:twoCellAnchor>
    <xdr:from>
      <xdr:col>14</xdr:col>
      <xdr:colOff>171450</xdr:colOff>
      <xdr:row>17</xdr:row>
      <xdr:rowOff>38100</xdr:rowOff>
    </xdr:from>
    <xdr:to>
      <xdr:col>14</xdr:col>
      <xdr:colOff>561975</xdr:colOff>
      <xdr:row>19</xdr:row>
      <xdr:rowOff>38100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CC7CF192-861C-4B6E-A264-F00488FB4150}"/>
            </a:ext>
          </a:extLst>
        </xdr:cNvPr>
        <xdr:cNvSpPr/>
      </xdr:nvSpPr>
      <xdr:spPr>
        <a:xfrm>
          <a:off x="8705850" y="3276600"/>
          <a:ext cx="390525" cy="381000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6</a:t>
          </a:r>
        </a:p>
      </xdr:txBody>
    </xdr:sp>
    <xdr:clientData/>
  </xdr:twoCellAnchor>
  <xdr:twoCellAnchor>
    <xdr:from>
      <xdr:col>28</xdr:col>
      <xdr:colOff>66675</xdr:colOff>
      <xdr:row>0</xdr:row>
      <xdr:rowOff>161925</xdr:rowOff>
    </xdr:from>
    <xdr:to>
      <xdr:col>28</xdr:col>
      <xdr:colOff>457200</xdr:colOff>
      <xdr:row>2</xdr:row>
      <xdr:rowOff>161925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E75B0448-84F6-49E4-B6F7-D610BB4065EC}"/>
            </a:ext>
          </a:extLst>
        </xdr:cNvPr>
        <xdr:cNvSpPr/>
      </xdr:nvSpPr>
      <xdr:spPr>
        <a:xfrm>
          <a:off x="17135475" y="161925"/>
          <a:ext cx="390525" cy="381000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5</a:t>
          </a:r>
        </a:p>
      </xdr:txBody>
    </xdr:sp>
    <xdr:clientData/>
  </xdr:twoCellAnchor>
  <xdr:twoCellAnchor>
    <xdr:from>
      <xdr:col>17</xdr:col>
      <xdr:colOff>171450</xdr:colOff>
      <xdr:row>16</xdr:row>
      <xdr:rowOff>104775</xdr:rowOff>
    </xdr:from>
    <xdr:to>
      <xdr:col>17</xdr:col>
      <xdr:colOff>561975</xdr:colOff>
      <xdr:row>18</xdr:row>
      <xdr:rowOff>104775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CF8A9ADC-86AF-4E05-BB26-14FCEA35AB71}"/>
            </a:ext>
          </a:extLst>
        </xdr:cNvPr>
        <xdr:cNvSpPr/>
      </xdr:nvSpPr>
      <xdr:spPr>
        <a:xfrm>
          <a:off x="10534650" y="3152775"/>
          <a:ext cx="390525" cy="381000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7</a:t>
          </a:r>
        </a:p>
      </xdr:txBody>
    </xdr:sp>
    <xdr:clientData/>
  </xdr:twoCellAnchor>
  <xdr:twoCellAnchor>
    <xdr:from>
      <xdr:col>28</xdr:col>
      <xdr:colOff>209550</xdr:colOff>
      <xdr:row>16</xdr:row>
      <xdr:rowOff>85725</xdr:rowOff>
    </xdr:from>
    <xdr:to>
      <xdr:col>28</xdr:col>
      <xdr:colOff>600075</xdr:colOff>
      <xdr:row>18</xdr:row>
      <xdr:rowOff>85725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1359C144-51A7-426E-B88D-34E174F48CF5}"/>
            </a:ext>
          </a:extLst>
        </xdr:cNvPr>
        <xdr:cNvSpPr/>
      </xdr:nvSpPr>
      <xdr:spPr>
        <a:xfrm>
          <a:off x="17278350" y="3133725"/>
          <a:ext cx="390525" cy="381000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8</a:t>
          </a:r>
        </a:p>
      </xdr:txBody>
    </xdr:sp>
    <xdr:clientData/>
  </xdr:twoCellAnchor>
  <xdr:twoCellAnchor>
    <xdr:from>
      <xdr:col>34</xdr:col>
      <xdr:colOff>485776</xdr:colOff>
      <xdr:row>22</xdr:row>
      <xdr:rowOff>57150</xdr:rowOff>
    </xdr:from>
    <xdr:to>
      <xdr:col>35</xdr:col>
      <xdr:colOff>295276</xdr:colOff>
      <xdr:row>23</xdr:row>
      <xdr:rowOff>104775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F298A55C-E018-4C01-A13F-3BFC203721F7}"/>
            </a:ext>
          </a:extLst>
        </xdr:cNvPr>
        <xdr:cNvSpPr txBox="1"/>
      </xdr:nvSpPr>
      <xdr:spPr>
        <a:xfrm>
          <a:off x="21212176" y="4248150"/>
          <a:ext cx="419100" cy="238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tx2">
                  <a:lumMod val="75000"/>
                  <a:lumOff val="25000"/>
                </a:schemeClr>
              </a:solidFill>
            </a:rPr>
            <a:t>PC1</a:t>
          </a:r>
        </a:p>
      </xdr:txBody>
    </xdr:sp>
    <xdr:clientData/>
  </xdr:twoCellAnchor>
  <xdr:twoCellAnchor>
    <xdr:from>
      <xdr:col>31</xdr:col>
      <xdr:colOff>333375</xdr:colOff>
      <xdr:row>17</xdr:row>
      <xdr:rowOff>180975</xdr:rowOff>
    </xdr:from>
    <xdr:to>
      <xdr:col>32</xdr:col>
      <xdr:colOff>142875</xdr:colOff>
      <xdr:row>19</xdr:row>
      <xdr:rowOff>38100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940D4C6-A80C-4871-9E06-339C3DB7D8DE}"/>
            </a:ext>
          </a:extLst>
        </xdr:cNvPr>
        <xdr:cNvSpPr txBox="1"/>
      </xdr:nvSpPr>
      <xdr:spPr>
        <a:xfrm>
          <a:off x="19230975" y="3419475"/>
          <a:ext cx="419100" cy="238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solidFill>
                <a:schemeClr val="tx2">
                  <a:lumMod val="75000"/>
                  <a:lumOff val="25000"/>
                </a:schemeClr>
              </a:solidFill>
            </a:rPr>
            <a:t>PC2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104775</xdr:colOff>
      <xdr:row>3</xdr:row>
      <xdr:rowOff>28575</xdr:rowOff>
    </xdr:from>
    <xdr:to>
      <xdr:col>7</xdr:col>
      <xdr:colOff>514350</xdr:colOff>
      <xdr:row>4</xdr:row>
      <xdr:rowOff>190500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84236C43-F107-4F43-8D7A-74598E101FED}"/>
            </a:ext>
          </a:extLst>
        </xdr:cNvPr>
        <xdr:cNvSpPr/>
      </xdr:nvSpPr>
      <xdr:spPr>
        <a:xfrm>
          <a:off x="4371975" y="600075"/>
          <a:ext cx="409575" cy="3524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6</xdr:col>
      <xdr:colOff>571501</xdr:colOff>
      <xdr:row>17</xdr:row>
      <xdr:rowOff>57150</xdr:rowOff>
    </xdr:from>
    <xdr:to>
      <xdr:col>7</xdr:col>
      <xdr:colOff>342901</xdr:colOff>
      <xdr:row>19</xdr:row>
      <xdr:rowOff>9525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699D09F1-65FE-4201-B25B-D77A793E7061}"/>
            </a:ext>
          </a:extLst>
        </xdr:cNvPr>
        <xdr:cNvSpPr/>
      </xdr:nvSpPr>
      <xdr:spPr>
        <a:xfrm>
          <a:off x="4229101" y="3295650"/>
          <a:ext cx="381000" cy="33337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3</a:t>
          </a:r>
        </a:p>
      </xdr:txBody>
    </xdr:sp>
    <xdr:clientData/>
  </xdr:twoCellAnchor>
  <xdr:twoCellAnchor>
    <xdr:from>
      <xdr:col>9</xdr:col>
      <xdr:colOff>409575</xdr:colOff>
      <xdr:row>2</xdr:row>
      <xdr:rowOff>28575</xdr:rowOff>
    </xdr:from>
    <xdr:to>
      <xdr:col>10</xdr:col>
      <xdr:colOff>152400</xdr:colOff>
      <xdr:row>4</xdr:row>
      <xdr:rowOff>28575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9C1771E6-6DED-46D8-B8BF-935B461FFBDE}"/>
            </a:ext>
          </a:extLst>
        </xdr:cNvPr>
        <xdr:cNvSpPr/>
      </xdr:nvSpPr>
      <xdr:spPr>
        <a:xfrm>
          <a:off x="5895975" y="409575"/>
          <a:ext cx="352425" cy="38100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8</xdr:col>
      <xdr:colOff>514350</xdr:colOff>
      <xdr:row>12</xdr:row>
      <xdr:rowOff>28575</xdr:rowOff>
    </xdr:from>
    <xdr:to>
      <xdr:col>9</xdr:col>
      <xdr:colOff>276225</xdr:colOff>
      <xdr:row>13</xdr:row>
      <xdr:rowOff>152400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697D9B86-83D4-4AE9-B1E2-354769009A01}"/>
            </a:ext>
          </a:extLst>
        </xdr:cNvPr>
        <xdr:cNvSpPr/>
      </xdr:nvSpPr>
      <xdr:spPr>
        <a:xfrm>
          <a:off x="5391150" y="2314575"/>
          <a:ext cx="371475" cy="314325"/>
        </a:xfrm>
        <a:prstGeom prst="ellipse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2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104775</xdr:colOff>
      <xdr:row>0</xdr:row>
      <xdr:rowOff>28575</xdr:rowOff>
    </xdr:from>
    <xdr:to>
      <xdr:col>7</xdr:col>
      <xdr:colOff>514350</xdr:colOff>
      <xdr:row>1</xdr:row>
      <xdr:rowOff>190500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4E6DF649-9181-42E0-80CC-16F422103A18}"/>
            </a:ext>
          </a:extLst>
        </xdr:cNvPr>
        <xdr:cNvSpPr/>
      </xdr:nvSpPr>
      <xdr:spPr>
        <a:xfrm>
          <a:off x="4371975" y="28575"/>
          <a:ext cx="409575" cy="3524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11</xdr:col>
      <xdr:colOff>542925</xdr:colOff>
      <xdr:row>0</xdr:row>
      <xdr:rowOff>28575</xdr:rowOff>
    </xdr:from>
    <xdr:to>
      <xdr:col>12</xdr:col>
      <xdr:colOff>285750</xdr:colOff>
      <xdr:row>2</xdr:row>
      <xdr:rowOff>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7B766E1A-C0D3-42E6-847B-2726DE1AB1D4}"/>
            </a:ext>
          </a:extLst>
        </xdr:cNvPr>
        <xdr:cNvSpPr/>
      </xdr:nvSpPr>
      <xdr:spPr>
        <a:xfrm>
          <a:off x="7248525" y="28575"/>
          <a:ext cx="352425" cy="3524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8</xdr:col>
      <xdr:colOff>514350</xdr:colOff>
      <xdr:row>12</xdr:row>
      <xdr:rowOff>28575</xdr:rowOff>
    </xdr:from>
    <xdr:to>
      <xdr:col>9</xdr:col>
      <xdr:colOff>276225</xdr:colOff>
      <xdr:row>13</xdr:row>
      <xdr:rowOff>152400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F080F98B-56AA-4A44-9D8F-A92E2B75EA38}"/>
            </a:ext>
          </a:extLst>
        </xdr:cNvPr>
        <xdr:cNvSpPr/>
      </xdr:nvSpPr>
      <xdr:spPr>
        <a:xfrm>
          <a:off x="5391150" y="2314575"/>
          <a:ext cx="371475" cy="314325"/>
        </a:xfrm>
        <a:prstGeom prst="ellipse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2</a:t>
          </a:r>
        </a:p>
      </xdr:txBody>
    </xdr:sp>
    <xdr:clientData/>
  </xdr:twoCellAnchor>
  <xdr:twoCellAnchor>
    <xdr:from>
      <xdr:col>16</xdr:col>
      <xdr:colOff>180975</xdr:colOff>
      <xdr:row>0</xdr:row>
      <xdr:rowOff>133350</xdr:rowOff>
    </xdr:from>
    <xdr:to>
      <xdr:col>16</xdr:col>
      <xdr:colOff>590550</xdr:colOff>
      <xdr:row>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7B260093-3661-4CF6-AF02-E0B8751F128C}"/>
            </a:ext>
          </a:extLst>
        </xdr:cNvPr>
        <xdr:cNvSpPr/>
      </xdr:nvSpPr>
      <xdr:spPr>
        <a:xfrm>
          <a:off x="9934575" y="133350"/>
          <a:ext cx="409575" cy="24765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5</a:t>
          </a:r>
        </a:p>
      </xdr:txBody>
    </xdr:sp>
    <xdr:clientData/>
  </xdr:twoCellAnchor>
  <xdr:twoCellAnchor>
    <xdr:from>
      <xdr:col>7</xdr:col>
      <xdr:colOff>114300</xdr:colOff>
      <xdr:row>18</xdr:row>
      <xdr:rowOff>85725</xdr:rowOff>
    </xdr:from>
    <xdr:to>
      <xdr:col>7</xdr:col>
      <xdr:colOff>523875</xdr:colOff>
      <xdr:row>19</xdr:row>
      <xdr:rowOff>209550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C455F7BD-1D94-4642-A79A-C440ACE53428}"/>
            </a:ext>
          </a:extLst>
        </xdr:cNvPr>
        <xdr:cNvSpPr/>
      </xdr:nvSpPr>
      <xdr:spPr>
        <a:xfrm>
          <a:off x="4381500" y="3514725"/>
          <a:ext cx="409575" cy="29527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16</xdr:col>
      <xdr:colOff>28575</xdr:colOff>
      <xdr:row>13</xdr:row>
      <xdr:rowOff>1</xdr:rowOff>
    </xdr:from>
    <xdr:to>
      <xdr:col>16</xdr:col>
      <xdr:colOff>419100</xdr:colOff>
      <xdr:row>14</xdr:row>
      <xdr:rowOff>171451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8BCA3018-46FB-40D1-B0D7-2A38D0468712}"/>
            </a:ext>
          </a:extLst>
        </xdr:cNvPr>
        <xdr:cNvSpPr/>
      </xdr:nvSpPr>
      <xdr:spPr>
        <a:xfrm>
          <a:off x="9782175" y="2476501"/>
          <a:ext cx="390525" cy="36195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7</a:t>
          </a:r>
        </a:p>
      </xdr:txBody>
    </xdr:sp>
    <xdr:clientData/>
  </xdr:twoCellAnchor>
  <xdr:twoCellAnchor>
    <xdr:from>
      <xdr:col>16</xdr:col>
      <xdr:colOff>19050</xdr:colOff>
      <xdr:row>7</xdr:row>
      <xdr:rowOff>19050</xdr:rowOff>
    </xdr:from>
    <xdr:to>
      <xdr:col>16</xdr:col>
      <xdr:colOff>438150</xdr:colOff>
      <xdr:row>8</xdr:row>
      <xdr:rowOff>180975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AC43448B-4A9D-4E5D-B24F-FA354DD35CCC}"/>
            </a:ext>
          </a:extLst>
        </xdr:cNvPr>
        <xdr:cNvSpPr/>
      </xdr:nvSpPr>
      <xdr:spPr>
        <a:xfrm>
          <a:off x="9772650" y="1352550"/>
          <a:ext cx="419100" cy="3524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6</a:t>
          </a:r>
        </a:p>
      </xdr:txBody>
    </xdr:sp>
    <xdr:clientData/>
  </xdr:twoCellAnchor>
  <xdr:twoCellAnchor>
    <xdr:from>
      <xdr:col>23</xdr:col>
      <xdr:colOff>85725</xdr:colOff>
      <xdr:row>12</xdr:row>
      <xdr:rowOff>104775</xdr:rowOff>
    </xdr:from>
    <xdr:to>
      <xdr:col>23</xdr:col>
      <xdr:colOff>552450</xdr:colOff>
      <xdr:row>14</xdr:row>
      <xdr:rowOff>66674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1782C4E7-CFEE-43C0-9795-66AF39D90DDA}"/>
            </a:ext>
          </a:extLst>
        </xdr:cNvPr>
        <xdr:cNvSpPr/>
      </xdr:nvSpPr>
      <xdr:spPr>
        <a:xfrm>
          <a:off x="14106525" y="2390775"/>
          <a:ext cx="466725" cy="342899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12</a:t>
          </a:r>
        </a:p>
      </xdr:txBody>
    </xdr:sp>
    <xdr:clientData/>
  </xdr:twoCellAnchor>
  <xdr:twoCellAnchor>
    <xdr:from>
      <xdr:col>32</xdr:col>
      <xdr:colOff>323850</xdr:colOff>
      <xdr:row>7</xdr:row>
      <xdr:rowOff>180976</xdr:rowOff>
    </xdr:from>
    <xdr:to>
      <xdr:col>33</xdr:col>
      <xdr:colOff>190500</xdr:colOff>
      <xdr:row>10</xdr:row>
      <xdr:rowOff>9525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9161603B-DF05-4142-AB38-4ECF90A30E01}"/>
            </a:ext>
          </a:extLst>
        </xdr:cNvPr>
        <xdr:cNvSpPr/>
      </xdr:nvSpPr>
      <xdr:spPr>
        <a:xfrm>
          <a:off x="19831050" y="1514476"/>
          <a:ext cx="476250" cy="400049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10</a:t>
          </a:r>
        </a:p>
      </xdr:txBody>
    </xdr:sp>
    <xdr:clientData/>
  </xdr:twoCellAnchor>
  <xdr:twoCellAnchor>
    <xdr:from>
      <xdr:col>23</xdr:col>
      <xdr:colOff>523876</xdr:colOff>
      <xdr:row>1</xdr:row>
      <xdr:rowOff>133351</xdr:rowOff>
    </xdr:from>
    <xdr:to>
      <xdr:col>24</xdr:col>
      <xdr:colOff>314326</xdr:colOff>
      <xdr:row>3</xdr:row>
      <xdr:rowOff>57150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C64A3298-DA8C-4905-8402-22E5F2953C8C}"/>
            </a:ext>
          </a:extLst>
        </xdr:cNvPr>
        <xdr:cNvSpPr/>
      </xdr:nvSpPr>
      <xdr:spPr>
        <a:xfrm>
          <a:off x="14544676" y="323851"/>
          <a:ext cx="400050" cy="304799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9</a:t>
          </a:r>
        </a:p>
      </xdr:txBody>
    </xdr:sp>
    <xdr:clientData/>
  </xdr:twoCellAnchor>
  <xdr:twoCellAnchor>
    <xdr:from>
      <xdr:col>20</xdr:col>
      <xdr:colOff>495300</xdr:colOff>
      <xdr:row>0</xdr:row>
      <xdr:rowOff>0</xdr:rowOff>
    </xdr:from>
    <xdr:to>
      <xdr:col>21</xdr:col>
      <xdr:colOff>285750</xdr:colOff>
      <xdr:row>1</xdr:row>
      <xdr:rowOff>209550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5D0ABBE2-7E7E-4A92-A160-4E1B585E7CAC}"/>
            </a:ext>
          </a:extLst>
        </xdr:cNvPr>
        <xdr:cNvSpPr/>
      </xdr:nvSpPr>
      <xdr:spPr>
        <a:xfrm>
          <a:off x="12687300" y="0"/>
          <a:ext cx="400050" cy="38100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8</a:t>
          </a:r>
        </a:p>
      </xdr:txBody>
    </xdr:sp>
    <xdr:clientData/>
  </xdr:twoCellAnchor>
  <xdr:twoCellAnchor>
    <xdr:from>
      <xdr:col>26</xdr:col>
      <xdr:colOff>171450</xdr:colOff>
      <xdr:row>0</xdr:row>
      <xdr:rowOff>180975</xdr:rowOff>
    </xdr:from>
    <xdr:to>
      <xdr:col>27</xdr:col>
      <xdr:colOff>38101</xdr:colOff>
      <xdr:row>2</xdr:row>
      <xdr:rowOff>219075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49BD218B-4B3A-4AA8-96D4-FD36F4274CF5}"/>
            </a:ext>
          </a:extLst>
        </xdr:cNvPr>
        <xdr:cNvSpPr/>
      </xdr:nvSpPr>
      <xdr:spPr>
        <a:xfrm>
          <a:off x="16021050" y="180975"/>
          <a:ext cx="476251" cy="3905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11</a:t>
          </a:r>
        </a:p>
      </xdr:txBody>
    </xdr:sp>
    <xdr:clientData/>
  </xdr:twoCellAnchor>
  <xdr:twoCellAnchor>
    <xdr:from>
      <xdr:col>28</xdr:col>
      <xdr:colOff>333364</xdr:colOff>
      <xdr:row>10</xdr:row>
      <xdr:rowOff>1</xdr:rowOff>
    </xdr:from>
    <xdr:to>
      <xdr:col>38</xdr:col>
      <xdr:colOff>28564</xdr:colOff>
      <xdr:row>22</xdr:row>
      <xdr:rowOff>152401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26E2782B-61D1-48D0-AC2E-1ABBCB27F3A3}"/>
            </a:ext>
          </a:extLst>
        </xdr:cNvPr>
        <xdr:cNvGrpSpPr/>
      </xdr:nvGrpSpPr>
      <xdr:grpSpPr>
        <a:xfrm>
          <a:off x="16876384" y="1965961"/>
          <a:ext cx="5791200" cy="2506980"/>
          <a:chOff x="16245638" y="712943"/>
          <a:chExt cx="4572000" cy="2743200"/>
        </a:xfrm>
      </xdr:grpSpPr>
      <xdr:graphicFrame macro="">
        <xdr:nvGraphicFramePr>
          <xdr:cNvPr id="15" name="Chart 14">
            <a:extLst>
              <a:ext uri="{FF2B5EF4-FFF2-40B4-BE49-F238E27FC236}">
                <a16:creationId xmlns:a16="http://schemas.microsoft.com/office/drawing/2014/main" id="{0D13AE5A-D195-53C0-09A1-D2FC876D1523}"/>
              </a:ext>
            </a:extLst>
          </xdr:cNvPr>
          <xdr:cNvGraphicFramePr/>
        </xdr:nvGraphicFramePr>
        <xdr:xfrm>
          <a:off x="16245638" y="712943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6" name="TextBox 15">
            <a:extLst>
              <a:ext uri="{FF2B5EF4-FFF2-40B4-BE49-F238E27FC236}">
                <a16:creationId xmlns:a16="http://schemas.microsoft.com/office/drawing/2014/main" id="{4949EF5B-B962-255B-479F-219FBF25D082}"/>
              </a:ext>
            </a:extLst>
          </xdr:cNvPr>
          <xdr:cNvSpPr txBox="1"/>
        </xdr:nvSpPr>
        <xdr:spPr>
          <a:xfrm>
            <a:off x="16890331" y="2513195"/>
            <a:ext cx="257175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A</a:t>
            </a:r>
          </a:p>
        </xdr:txBody>
      </xdr:sp>
      <xdr:sp macro="" textlink="">
        <xdr:nvSpPr>
          <xdr:cNvPr id="17" name="TextBox 16">
            <a:extLst>
              <a:ext uri="{FF2B5EF4-FFF2-40B4-BE49-F238E27FC236}">
                <a16:creationId xmlns:a16="http://schemas.microsoft.com/office/drawing/2014/main" id="{7C840E64-6339-BB4A-F4FA-8226636C4F6C}"/>
              </a:ext>
            </a:extLst>
          </xdr:cNvPr>
          <xdr:cNvSpPr txBox="1"/>
        </xdr:nvSpPr>
        <xdr:spPr>
          <a:xfrm>
            <a:off x="19999491" y="2808438"/>
            <a:ext cx="257175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B</a:t>
            </a:r>
          </a:p>
        </xdr:txBody>
      </xdr:sp>
      <xdr:sp macro="" textlink="">
        <xdr:nvSpPr>
          <xdr:cNvPr id="18" name="TextBox 17">
            <a:extLst>
              <a:ext uri="{FF2B5EF4-FFF2-40B4-BE49-F238E27FC236}">
                <a16:creationId xmlns:a16="http://schemas.microsoft.com/office/drawing/2014/main" id="{CD7FF3B0-6357-F303-A3B0-490E49F39178}"/>
              </a:ext>
            </a:extLst>
          </xdr:cNvPr>
          <xdr:cNvSpPr txBox="1"/>
        </xdr:nvSpPr>
        <xdr:spPr>
          <a:xfrm>
            <a:off x="19145251" y="1284463"/>
            <a:ext cx="257175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C</a:t>
            </a:r>
          </a:p>
        </xdr:txBody>
      </xdr:sp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40CD75EA-337D-17A7-88E4-E3CD47BFE653}"/>
              </a:ext>
            </a:extLst>
          </xdr:cNvPr>
          <xdr:cNvSpPr txBox="1"/>
        </xdr:nvSpPr>
        <xdr:spPr>
          <a:xfrm>
            <a:off x="19375858" y="1932166"/>
            <a:ext cx="257175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D</a:t>
            </a:r>
          </a:p>
        </xdr:txBody>
      </xdr:sp>
    </xdr:grpSp>
    <xdr:clientData/>
  </xdr:twoCellAnchor>
  <xdr:oneCellAnchor>
    <xdr:from>
      <xdr:col>43</xdr:col>
      <xdr:colOff>123825</xdr:colOff>
      <xdr:row>5</xdr:row>
      <xdr:rowOff>38100</xdr:rowOff>
    </xdr:from>
    <xdr:ext cx="1449436" cy="320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9C8A38B6-2241-4E3B-B10F-72A3D53C51B5}"/>
                </a:ext>
              </a:extLst>
            </xdr:cNvPr>
            <xdr:cNvSpPr txBox="1"/>
          </xdr:nvSpPr>
          <xdr:spPr>
            <a:xfrm>
              <a:off x="26336625" y="990600"/>
              <a:ext cx="1449436" cy="320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𝑛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𝑚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𝑘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𝑚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+2</m:t>
                        </m:r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9C8A38B6-2241-4E3B-B10F-72A3D53C51B5}"/>
                </a:ext>
              </a:extLst>
            </xdr:cNvPr>
            <xdr:cNvSpPr txBox="1"/>
          </xdr:nvSpPr>
          <xdr:spPr>
            <a:xfrm>
              <a:off x="26336625" y="990600"/>
              <a:ext cx="1449436" cy="320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𝑎=𝑛−𝑚−(𝑘−𝑚+2)/2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44</xdr:col>
      <xdr:colOff>19050</xdr:colOff>
      <xdr:row>7</xdr:row>
      <xdr:rowOff>47625</xdr:rowOff>
    </xdr:from>
    <xdr:ext cx="1242904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0ED403B7-2560-45B3-91A3-028492DE312E}"/>
                </a:ext>
              </a:extLst>
            </xdr:cNvPr>
            <xdr:cNvSpPr txBox="1"/>
          </xdr:nvSpPr>
          <xdr:spPr>
            <a:xfrm>
              <a:off x="26841450" y="1381125"/>
              <a:ext cx="1242904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ad>
                      <m:radPr>
                        <m:degHide m:val="on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n-GB" sz="11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𝑘</m:t>
                                </m:r>
                              </m:e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  <m:sSup>
                              <m:sSupPr>
                                <m:ctrlP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  <m:sup>
                                <m:r>
                                  <a:rPr lang="en-GB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−4</m:t>
                            </m:r>
                          </m:num>
                          <m:den>
                            <m:sSup>
                              <m:sSupPr>
                                <m:ctrlPr>
                                  <a:rPr lang="en-GB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𝑘</m:t>
                                </m:r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+(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  <m:sSup>
                              <m:sSupPr>
                                <m:ctrlP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)</m:t>
                                </m:r>
                              </m:e>
                              <m:sup>
                                <m:r>
                                  <a:rPr lang="en-GB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−5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0ED403B7-2560-45B3-91A3-028492DE312E}"/>
                </a:ext>
              </a:extLst>
            </xdr:cNvPr>
            <xdr:cNvSpPr txBox="1"/>
          </xdr:nvSpPr>
          <xdr:spPr>
            <a:xfrm>
              <a:off x="26841450" y="1381125"/>
              <a:ext cx="1242904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√((</a:t>
              </a:r>
              <a:r>
                <a:rPr lang="en-GB" sz="1100" b="0" i="0">
                  <a:latin typeface="Cambria Math" panose="02040503050406030204" pitchFamily="18" charset="0"/>
                </a:rPr>
                <a:t>𝑘^2 (𝑚−1)^2−4)/(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𝑘^2+(𝑚−1)^2−5))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43</xdr:col>
      <xdr:colOff>447675</xdr:colOff>
      <xdr:row>7</xdr:row>
      <xdr:rowOff>38100</xdr:rowOff>
    </xdr:from>
    <xdr:to>
      <xdr:col>44</xdr:col>
      <xdr:colOff>66675</xdr:colOff>
      <xdr:row>11</xdr:row>
      <xdr:rowOff>38100</xdr:rowOff>
    </xdr:to>
    <xdr:sp macro="" textlink="">
      <xdr:nvSpPr>
        <xdr:cNvPr id="22" name="Left Brace 21">
          <a:extLst>
            <a:ext uri="{FF2B5EF4-FFF2-40B4-BE49-F238E27FC236}">
              <a16:creationId xmlns:a16="http://schemas.microsoft.com/office/drawing/2014/main" id="{C83D209A-32EB-4104-997F-21473127F62B}"/>
            </a:ext>
          </a:extLst>
        </xdr:cNvPr>
        <xdr:cNvSpPr/>
      </xdr:nvSpPr>
      <xdr:spPr>
        <a:xfrm>
          <a:off x="26660475" y="1371600"/>
          <a:ext cx="228600" cy="762000"/>
        </a:xfrm>
        <a:prstGeom prst="lef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43</xdr:col>
      <xdr:colOff>57150</xdr:colOff>
      <xdr:row>15</xdr:row>
      <xdr:rowOff>142875</xdr:rowOff>
    </xdr:from>
    <xdr:ext cx="1901803" cy="3761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id="{99FB3C0A-0B7B-46B2-89F1-02265F28AC07}"/>
                </a:ext>
              </a:extLst>
            </xdr:cNvPr>
            <xdr:cNvSpPr txBox="1"/>
          </xdr:nvSpPr>
          <xdr:spPr>
            <a:xfrm>
              <a:off x="26269950" y="3000375"/>
              <a:ext cx="1901803" cy="3761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𝐹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Λ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1/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𝑏</m:t>
                            </m:r>
                          </m:sup>
                        </m:sSup>
                      </m:num>
                      <m:den>
                        <m:sSup>
                          <m:sSup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l-G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Λ</m:t>
                            </m:r>
                          </m:e>
                          <m:sup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1/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sup>
                        </m:sSup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∙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𝑑𝑓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𝑑𝑓</m:t>
                            </m:r>
                          </m:e>
                          <m:sub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den>
                    </m:f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~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𝐹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(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𝑑𝑓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,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𝑑𝑓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id="{99FB3C0A-0B7B-46B2-89F1-02265F28AC07}"/>
                </a:ext>
              </a:extLst>
            </xdr:cNvPr>
            <xdr:cNvSpPr txBox="1"/>
          </xdr:nvSpPr>
          <xdr:spPr>
            <a:xfrm>
              <a:off x="26269950" y="3000375"/>
              <a:ext cx="1901803" cy="3761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𝐹=(1−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Λ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^(</a:t>
              </a:r>
              <a:r>
                <a:rPr lang="en-GB" sz="1100" b="0" i="0">
                  <a:latin typeface="Cambria Math" panose="02040503050406030204" pitchFamily="18" charset="0"/>
                </a:rPr>
                <a:t>1/𝑏))/</a:t>
              </a:r>
              <a:r>
                <a:rPr lang="el-G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Λ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^(1/𝑏) 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∙〖𝑑𝑓〗_2/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〖𝑑𝑓〗_1 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~𝐹(〖𝑑𝑓〗_1,〖𝑑𝑓〗_2)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85725</xdr:colOff>
      <xdr:row>20</xdr:row>
      <xdr:rowOff>123825</xdr:rowOff>
    </xdr:from>
    <xdr:to>
      <xdr:col>16</xdr:col>
      <xdr:colOff>447675</xdr:colOff>
      <xdr:row>22</xdr:row>
      <xdr:rowOff>104775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A93EC54A-9E69-4340-AF9C-9AD879A39D81}"/>
            </a:ext>
          </a:extLst>
        </xdr:cNvPr>
        <xdr:cNvSpPr/>
      </xdr:nvSpPr>
      <xdr:spPr>
        <a:xfrm>
          <a:off x="9839325" y="3933825"/>
          <a:ext cx="361950" cy="36195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6</a:t>
          </a:r>
        </a:p>
      </xdr:txBody>
    </xdr:sp>
    <xdr:clientData/>
  </xdr:twoCellAnchor>
  <xdr:twoCellAnchor>
    <xdr:from>
      <xdr:col>15</xdr:col>
      <xdr:colOff>419100</xdr:colOff>
      <xdr:row>0</xdr:row>
      <xdr:rowOff>28575</xdr:rowOff>
    </xdr:from>
    <xdr:to>
      <xdr:col>15</xdr:col>
      <xdr:colOff>781050</xdr:colOff>
      <xdr:row>2</xdr:row>
      <xdr:rowOff>9525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B200C169-B979-48A6-A16C-E52C1CB0F2F3}"/>
            </a:ext>
          </a:extLst>
        </xdr:cNvPr>
        <xdr:cNvSpPr/>
      </xdr:nvSpPr>
      <xdr:spPr>
        <a:xfrm>
          <a:off x="9563100" y="28575"/>
          <a:ext cx="190500" cy="36195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5</a:t>
          </a:r>
        </a:p>
      </xdr:txBody>
    </xdr:sp>
    <xdr:clientData/>
  </xdr:twoCellAnchor>
  <xdr:twoCellAnchor>
    <xdr:from>
      <xdr:col>12</xdr:col>
      <xdr:colOff>123825</xdr:colOff>
      <xdr:row>0</xdr:row>
      <xdr:rowOff>38100</xdr:rowOff>
    </xdr:from>
    <xdr:to>
      <xdr:col>12</xdr:col>
      <xdr:colOff>485775</xdr:colOff>
      <xdr:row>2</xdr:row>
      <xdr:rowOff>19050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25DB28E7-44EF-4F4D-A20A-344189594F9B}"/>
            </a:ext>
          </a:extLst>
        </xdr:cNvPr>
        <xdr:cNvSpPr/>
      </xdr:nvSpPr>
      <xdr:spPr>
        <a:xfrm>
          <a:off x="7439025" y="38100"/>
          <a:ext cx="361950" cy="36195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4</a:t>
          </a:r>
        </a:p>
      </xdr:txBody>
    </xdr:sp>
    <xdr:clientData/>
  </xdr:twoCellAnchor>
  <xdr:twoCellAnchor>
    <xdr:from>
      <xdr:col>7</xdr:col>
      <xdr:colOff>590550</xdr:colOff>
      <xdr:row>19</xdr:row>
      <xdr:rowOff>104775</xdr:rowOff>
    </xdr:from>
    <xdr:to>
      <xdr:col>8</xdr:col>
      <xdr:colOff>342900</xdr:colOff>
      <xdr:row>21</xdr:row>
      <xdr:rowOff>85725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459791BC-7DBB-4DAA-90DD-8C37154B7ACA}"/>
            </a:ext>
          </a:extLst>
        </xdr:cNvPr>
        <xdr:cNvSpPr/>
      </xdr:nvSpPr>
      <xdr:spPr>
        <a:xfrm>
          <a:off x="4857750" y="3724275"/>
          <a:ext cx="361950" cy="36195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3</a:t>
          </a:r>
        </a:p>
      </xdr:txBody>
    </xdr:sp>
    <xdr:clientData/>
  </xdr:twoCellAnchor>
  <xdr:twoCellAnchor>
    <xdr:from>
      <xdr:col>7</xdr:col>
      <xdr:colOff>438150</xdr:colOff>
      <xdr:row>0</xdr:row>
      <xdr:rowOff>47625</xdr:rowOff>
    </xdr:from>
    <xdr:to>
      <xdr:col>8</xdr:col>
      <xdr:colOff>190500</xdr:colOff>
      <xdr:row>2</xdr:row>
      <xdr:rowOff>28575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FFBC5748-215E-40FB-A5FC-3E9CB0979EFB}"/>
            </a:ext>
          </a:extLst>
        </xdr:cNvPr>
        <xdr:cNvSpPr/>
      </xdr:nvSpPr>
      <xdr:spPr>
        <a:xfrm>
          <a:off x="4705350" y="47625"/>
          <a:ext cx="361950" cy="36195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2</a:t>
          </a:r>
        </a:p>
      </xdr:txBody>
    </xdr:sp>
    <xdr:clientData/>
  </xdr:twoCellAnchor>
  <xdr:twoCellAnchor>
    <xdr:from>
      <xdr:col>11</xdr:col>
      <xdr:colOff>209550</xdr:colOff>
      <xdr:row>25</xdr:row>
      <xdr:rowOff>0</xdr:rowOff>
    </xdr:from>
    <xdr:to>
      <xdr:col>11</xdr:col>
      <xdr:colOff>571500</xdr:colOff>
      <xdr:row>26</xdr:row>
      <xdr:rowOff>171450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DCB99064-E596-45B6-9983-551A248D5A4A}"/>
            </a:ext>
          </a:extLst>
        </xdr:cNvPr>
        <xdr:cNvSpPr/>
      </xdr:nvSpPr>
      <xdr:spPr>
        <a:xfrm>
          <a:off x="6915150" y="4762500"/>
          <a:ext cx="361950" cy="36195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7</a:t>
          </a:r>
        </a:p>
      </xdr:txBody>
    </xdr:sp>
    <xdr:clientData/>
  </xdr:twoCellAnchor>
  <xdr:oneCellAnchor>
    <xdr:from>
      <xdr:col>33</xdr:col>
      <xdr:colOff>95251</xdr:colOff>
      <xdr:row>2</xdr:row>
      <xdr:rowOff>47626</xdr:rowOff>
    </xdr:from>
    <xdr:ext cx="3467100" cy="3624420"/>
    <xdr:pic>
      <xdr:nvPicPr>
        <xdr:cNvPr id="8" name="Picture 7">
          <a:extLst>
            <a:ext uri="{FF2B5EF4-FFF2-40B4-BE49-F238E27FC236}">
              <a16:creationId xmlns:a16="http://schemas.microsoft.com/office/drawing/2014/main" id="{E3ED1383-AF44-41F6-AF5C-0A4FF9348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212051" y="428626"/>
          <a:ext cx="3467100" cy="3624420"/>
        </a:xfrm>
        <a:prstGeom prst="rect">
          <a:avLst/>
        </a:prstGeom>
      </xdr:spPr>
    </xdr:pic>
    <xdr:clientData/>
  </xdr:oneCellAnchor>
  <xdr:twoCellAnchor>
    <xdr:from>
      <xdr:col>3</xdr:col>
      <xdr:colOff>0</xdr:colOff>
      <xdr:row>21</xdr:row>
      <xdr:rowOff>0</xdr:rowOff>
    </xdr:from>
    <xdr:to>
      <xdr:col>3</xdr:col>
      <xdr:colOff>361950</xdr:colOff>
      <xdr:row>22</xdr:row>
      <xdr:rowOff>171450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6D0621DF-E042-49D3-A318-342C3CF9A198}"/>
            </a:ext>
          </a:extLst>
        </xdr:cNvPr>
        <xdr:cNvSpPr/>
      </xdr:nvSpPr>
      <xdr:spPr>
        <a:xfrm>
          <a:off x="1828800" y="4000500"/>
          <a:ext cx="361950" cy="36195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20</xdr:row>
      <xdr:rowOff>19050</xdr:rowOff>
    </xdr:from>
    <xdr:ext cx="3534268" cy="3057952"/>
    <xdr:pic>
      <xdr:nvPicPr>
        <xdr:cNvPr id="2" name="Picture 1">
          <a:extLst>
            <a:ext uri="{FF2B5EF4-FFF2-40B4-BE49-F238E27FC236}">
              <a16:creationId xmlns:a16="http://schemas.microsoft.com/office/drawing/2014/main" id="{FD1E37F5-CE49-443D-AFE5-1AF01762F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550" y="3829050"/>
          <a:ext cx="3534268" cy="3057952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8</xdr:row>
      <xdr:rowOff>114300</xdr:rowOff>
    </xdr:from>
    <xdr:to>
      <xdr:col>3</xdr:col>
      <xdr:colOff>466725</xdr:colOff>
      <xdr:row>10</xdr:row>
      <xdr:rowOff>142875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A7311B86-4D30-4AE5-99C4-6A72CBAD3A81}"/>
            </a:ext>
          </a:extLst>
        </xdr:cNvPr>
        <xdr:cNvSpPr/>
      </xdr:nvSpPr>
      <xdr:spPr>
        <a:xfrm>
          <a:off x="1828800" y="1638300"/>
          <a:ext cx="466725" cy="4095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</a:t>
          </a:r>
        </a:p>
      </xdr:txBody>
    </xdr:sp>
    <xdr:clientData/>
  </xdr:twoCellAnchor>
  <xdr:twoCellAnchor>
    <xdr:from>
      <xdr:col>9</xdr:col>
      <xdr:colOff>66675</xdr:colOff>
      <xdr:row>0</xdr:row>
      <xdr:rowOff>38100</xdr:rowOff>
    </xdr:from>
    <xdr:to>
      <xdr:col>9</xdr:col>
      <xdr:colOff>533400</xdr:colOff>
      <xdr:row>2</xdr:row>
      <xdr:rowOff>28575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810C1A97-E24D-4DF1-82E6-F6C04DFCF463}"/>
            </a:ext>
          </a:extLst>
        </xdr:cNvPr>
        <xdr:cNvSpPr/>
      </xdr:nvSpPr>
      <xdr:spPr>
        <a:xfrm>
          <a:off x="5553075" y="38100"/>
          <a:ext cx="466725" cy="3714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2</a:t>
          </a:r>
        </a:p>
      </xdr:txBody>
    </xdr:sp>
    <xdr:clientData/>
  </xdr:twoCellAnchor>
  <xdr:twoCellAnchor>
    <xdr:from>
      <xdr:col>20</xdr:col>
      <xdr:colOff>161925</xdr:colOff>
      <xdr:row>0</xdr:row>
      <xdr:rowOff>152400</xdr:rowOff>
    </xdr:from>
    <xdr:to>
      <xdr:col>21</xdr:col>
      <xdr:colOff>19050</xdr:colOff>
      <xdr:row>2</xdr:row>
      <xdr:rowOff>142875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C6CEBE1D-15FA-448E-BCC6-50BB732D0EFE}"/>
            </a:ext>
          </a:extLst>
        </xdr:cNvPr>
        <xdr:cNvSpPr/>
      </xdr:nvSpPr>
      <xdr:spPr>
        <a:xfrm>
          <a:off x="12353925" y="152400"/>
          <a:ext cx="466725" cy="3714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5</a:t>
          </a:r>
        </a:p>
      </xdr:txBody>
    </xdr:sp>
    <xdr:clientData/>
  </xdr:twoCellAnchor>
  <xdr:twoCellAnchor>
    <xdr:from>
      <xdr:col>8</xdr:col>
      <xdr:colOff>495300</xdr:colOff>
      <xdr:row>18</xdr:row>
      <xdr:rowOff>57150</xdr:rowOff>
    </xdr:from>
    <xdr:to>
      <xdr:col>9</xdr:col>
      <xdr:colOff>352425</xdr:colOff>
      <xdr:row>20</xdr:row>
      <xdr:rowOff>85725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49E7BE46-BDEF-4D47-817C-1BE160D93EE2}"/>
            </a:ext>
          </a:extLst>
        </xdr:cNvPr>
        <xdr:cNvSpPr/>
      </xdr:nvSpPr>
      <xdr:spPr>
        <a:xfrm>
          <a:off x="5372100" y="3486150"/>
          <a:ext cx="466725" cy="4095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4</a:t>
          </a:r>
        </a:p>
      </xdr:txBody>
    </xdr:sp>
    <xdr:clientData/>
  </xdr:twoCellAnchor>
  <xdr:twoCellAnchor>
    <xdr:from>
      <xdr:col>9</xdr:col>
      <xdr:colOff>504825</xdr:colOff>
      <xdr:row>9</xdr:row>
      <xdr:rowOff>104775</xdr:rowOff>
    </xdr:from>
    <xdr:to>
      <xdr:col>10</xdr:col>
      <xdr:colOff>361950</xdr:colOff>
      <xdr:row>11</xdr:row>
      <xdr:rowOff>95250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211D342E-D5A9-47E0-B445-4191D6013715}"/>
            </a:ext>
          </a:extLst>
        </xdr:cNvPr>
        <xdr:cNvSpPr/>
      </xdr:nvSpPr>
      <xdr:spPr>
        <a:xfrm>
          <a:off x="5991225" y="1819275"/>
          <a:ext cx="466725" cy="3714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3</a:t>
          </a:r>
        </a:p>
      </xdr:txBody>
    </xdr:sp>
    <xdr:clientData/>
  </xdr:twoCellAnchor>
  <xdr:twoCellAnchor>
    <xdr:from>
      <xdr:col>15</xdr:col>
      <xdr:colOff>266700</xdr:colOff>
      <xdr:row>9</xdr:row>
      <xdr:rowOff>104775</xdr:rowOff>
    </xdr:from>
    <xdr:to>
      <xdr:col>16</xdr:col>
      <xdr:colOff>123825</xdr:colOff>
      <xdr:row>11</xdr:row>
      <xdr:rowOff>95250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70D7C48E-3675-4E42-AB1D-96712E5E9E82}"/>
            </a:ext>
          </a:extLst>
        </xdr:cNvPr>
        <xdr:cNvSpPr/>
      </xdr:nvSpPr>
      <xdr:spPr>
        <a:xfrm>
          <a:off x="9410700" y="1819275"/>
          <a:ext cx="466725" cy="3714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7</a:t>
          </a:r>
        </a:p>
      </xdr:txBody>
    </xdr:sp>
    <xdr:clientData/>
  </xdr:twoCellAnchor>
  <xdr:twoCellAnchor>
    <xdr:from>
      <xdr:col>15</xdr:col>
      <xdr:colOff>133350</xdr:colOff>
      <xdr:row>0</xdr:row>
      <xdr:rowOff>85725</xdr:rowOff>
    </xdr:from>
    <xdr:to>
      <xdr:col>15</xdr:col>
      <xdr:colOff>600075</xdr:colOff>
      <xdr:row>2</xdr:row>
      <xdr:rowOff>76200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CA692784-3272-4B13-9360-BEA76EE060D3}"/>
            </a:ext>
          </a:extLst>
        </xdr:cNvPr>
        <xdr:cNvSpPr/>
      </xdr:nvSpPr>
      <xdr:spPr>
        <a:xfrm>
          <a:off x="9277350" y="85725"/>
          <a:ext cx="466725" cy="3714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6</a:t>
          </a:r>
        </a:p>
      </xdr:txBody>
    </xdr:sp>
    <xdr:clientData/>
  </xdr:twoCellAnchor>
  <xdr:twoCellAnchor>
    <xdr:from>
      <xdr:col>20</xdr:col>
      <xdr:colOff>285750</xdr:colOff>
      <xdr:row>10</xdr:row>
      <xdr:rowOff>152400</xdr:rowOff>
    </xdr:from>
    <xdr:to>
      <xdr:col>27</xdr:col>
      <xdr:colOff>590550</xdr:colOff>
      <xdr:row>25</xdr:row>
      <xdr:rowOff>0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CA3AAE80-4B3D-42EA-8AFF-30FD90897BC4}"/>
            </a:ext>
          </a:extLst>
        </xdr:cNvPr>
        <xdr:cNvGrpSpPr/>
      </xdr:nvGrpSpPr>
      <xdr:grpSpPr>
        <a:xfrm>
          <a:off x="12553950" y="1996440"/>
          <a:ext cx="4572000" cy="2621280"/>
          <a:chOff x="12534900" y="2095500"/>
          <a:chExt cx="4572000" cy="2743200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E3F86A46-2114-E435-AF32-9025536A7448}"/>
              </a:ext>
            </a:extLst>
          </xdr:cNvPr>
          <xdr:cNvGraphicFramePr>
            <a:graphicFrameLocks/>
          </xdr:cNvGraphicFramePr>
        </xdr:nvGraphicFramePr>
        <xdr:xfrm>
          <a:off x="12534900" y="20955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1" name="Oval 10">
            <a:extLst>
              <a:ext uri="{FF2B5EF4-FFF2-40B4-BE49-F238E27FC236}">
                <a16:creationId xmlns:a16="http://schemas.microsoft.com/office/drawing/2014/main" id="{35D48AA2-02C7-EEF1-AFBE-72B45B525B67}"/>
              </a:ext>
            </a:extLst>
          </xdr:cNvPr>
          <xdr:cNvSpPr/>
        </xdr:nvSpPr>
        <xdr:spPr>
          <a:xfrm>
            <a:off x="15287625" y="2124075"/>
            <a:ext cx="466725" cy="447675"/>
          </a:xfrm>
          <a:prstGeom prst="ellipse">
            <a:avLst/>
          </a:prstGeom>
        </xdr:spPr>
        <xdr:style>
          <a:lnRef idx="2">
            <a:schemeClr val="accent2">
              <a:shade val="15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GB" sz="1100"/>
              <a:t>8</a:t>
            </a:r>
          </a:p>
        </xdr:txBody>
      </xdr:sp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6497AA01-3A9E-2D7E-31BC-B51AA15D0F08}"/>
              </a:ext>
            </a:extLst>
          </xdr:cNvPr>
          <xdr:cNvSpPr txBox="1"/>
        </xdr:nvSpPr>
        <xdr:spPr>
          <a:xfrm>
            <a:off x="14792325" y="2476500"/>
            <a:ext cx="542925" cy="2476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Dim 2</a:t>
            </a:r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C8C596C3-BC43-3D78-CD07-A164F7CEB164}"/>
              </a:ext>
            </a:extLst>
          </xdr:cNvPr>
          <xdr:cNvSpPr txBox="1"/>
        </xdr:nvSpPr>
        <xdr:spPr>
          <a:xfrm>
            <a:off x="16497300" y="3171825"/>
            <a:ext cx="590550" cy="2190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Dim 1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552450</xdr:colOff>
      <xdr:row>6</xdr:row>
      <xdr:rowOff>180975</xdr:rowOff>
    </xdr:from>
    <xdr:to>
      <xdr:col>6</xdr:col>
      <xdr:colOff>409575</xdr:colOff>
      <xdr:row>9</xdr:row>
      <xdr:rowOff>19050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3B8C3128-B17B-4E5C-BF2B-21CCA9A66300}"/>
            </a:ext>
          </a:extLst>
        </xdr:cNvPr>
        <xdr:cNvSpPr/>
      </xdr:nvSpPr>
      <xdr:spPr>
        <a:xfrm>
          <a:off x="3600450" y="1323975"/>
          <a:ext cx="466725" cy="4095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</a:t>
          </a:r>
        </a:p>
      </xdr:txBody>
    </xdr:sp>
    <xdr:clientData/>
  </xdr:twoCellAnchor>
  <xdr:twoCellAnchor>
    <xdr:from>
      <xdr:col>11</xdr:col>
      <xdr:colOff>0</xdr:colOff>
      <xdr:row>8</xdr:row>
      <xdr:rowOff>104775</xdr:rowOff>
    </xdr:from>
    <xdr:to>
      <xdr:col>11</xdr:col>
      <xdr:colOff>466725</xdr:colOff>
      <xdr:row>10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4240A911-9FC8-4658-9DAE-93A5F0B5A9B5}"/>
            </a:ext>
          </a:extLst>
        </xdr:cNvPr>
        <xdr:cNvSpPr/>
      </xdr:nvSpPr>
      <xdr:spPr>
        <a:xfrm>
          <a:off x="6705600" y="1628775"/>
          <a:ext cx="466725" cy="39052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1d</a:t>
          </a:r>
        </a:p>
      </xdr:txBody>
    </xdr:sp>
    <xdr:clientData/>
  </xdr:twoCellAnchor>
  <xdr:twoCellAnchor>
    <xdr:from>
      <xdr:col>10</xdr:col>
      <xdr:colOff>523875</xdr:colOff>
      <xdr:row>0</xdr:row>
      <xdr:rowOff>0</xdr:rowOff>
    </xdr:from>
    <xdr:to>
      <xdr:col>11</xdr:col>
      <xdr:colOff>381000</xdr:colOff>
      <xdr:row>2</xdr:row>
      <xdr:rowOff>9525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E86C07A-36BB-4A98-A943-D3130410C6DE}"/>
            </a:ext>
          </a:extLst>
        </xdr:cNvPr>
        <xdr:cNvSpPr/>
      </xdr:nvSpPr>
      <xdr:spPr>
        <a:xfrm>
          <a:off x="6619875" y="0"/>
          <a:ext cx="466725" cy="39052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1c</a:t>
          </a:r>
        </a:p>
      </xdr:txBody>
    </xdr:sp>
    <xdr:clientData/>
  </xdr:twoCellAnchor>
  <xdr:twoCellAnchor>
    <xdr:from>
      <xdr:col>7</xdr:col>
      <xdr:colOff>933450</xdr:colOff>
      <xdr:row>1</xdr:row>
      <xdr:rowOff>57150</xdr:rowOff>
    </xdr:from>
    <xdr:to>
      <xdr:col>8</xdr:col>
      <xdr:colOff>457200</xdr:colOff>
      <xdr:row>3</xdr:row>
      <xdr:rowOff>85725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B8BF88C0-B933-41F5-AFE8-A3D6F10B70A3}"/>
            </a:ext>
          </a:extLst>
        </xdr:cNvPr>
        <xdr:cNvSpPr/>
      </xdr:nvSpPr>
      <xdr:spPr>
        <a:xfrm>
          <a:off x="4876800" y="247650"/>
          <a:ext cx="457200" cy="4095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1b</a:t>
          </a:r>
        </a:p>
      </xdr:txBody>
    </xdr:sp>
    <xdr:clientData/>
  </xdr:twoCellAnchor>
  <xdr:twoCellAnchor>
    <xdr:from>
      <xdr:col>2</xdr:col>
      <xdr:colOff>9525</xdr:colOff>
      <xdr:row>18</xdr:row>
      <xdr:rowOff>76200</xdr:rowOff>
    </xdr:from>
    <xdr:to>
      <xdr:col>2</xdr:col>
      <xdr:colOff>476250</xdr:colOff>
      <xdr:row>20</xdr:row>
      <xdr:rowOff>85725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367A6F9D-4422-4B15-83CF-F18114F3685A}"/>
            </a:ext>
          </a:extLst>
        </xdr:cNvPr>
        <xdr:cNvSpPr/>
      </xdr:nvSpPr>
      <xdr:spPr>
        <a:xfrm>
          <a:off x="1228725" y="3505200"/>
          <a:ext cx="466725" cy="39052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1a</a:t>
          </a:r>
        </a:p>
      </xdr:txBody>
    </xdr:sp>
    <xdr:clientData/>
  </xdr:twoCellAnchor>
  <xdr:twoCellAnchor>
    <xdr:from>
      <xdr:col>18</xdr:col>
      <xdr:colOff>495300</xdr:colOff>
      <xdr:row>8</xdr:row>
      <xdr:rowOff>85725</xdr:rowOff>
    </xdr:from>
    <xdr:to>
      <xdr:col>19</xdr:col>
      <xdr:colOff>352425</xdr:colOff>
      <xdr:row>10</xdr:row>
      <xdr:rowOff>95250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4D178896-6654-4D98-AC1A-0FA8BED9CD0D}"/>
            </a:ext>
          </a:extLst>
        </xdr:cNvPr>
        <xdr:cNvSpPr/>
      </xdr:nvSpPr>
      <xdr:spPr>
        <a:xfrm>
          <a:off x="11468100" y="1609725"/>
          <a:ext cx="466725" cy="39052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3</a:t>
          </a:r>
        </a:p>
      </xdr:txBody>
    </xdr:sp>
    <xdr:clientData/>
  </xdr:twoCellAnchor>
  <xdr:twoCellAnchor>
    <xdr:from>
      <xdr:col>16</xdr:col>
      <xdr:colOff>361950</xdr:colOff>
      <xdr:row>1</xdr:row>
      <xdr:rowOff>19050</xdr:rowOff>
    </xdr:from>
    <xdr:to>
      <xdr:col>17</xdr:col>
      <xdr:colOff>219075</xdr:colOff>
      <xdr:row>3</xdr:row>
      <xdr:rowOff>47625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7E1DBCC3-ACF4-490C-8125-44B50F0F652A}"/>
            </a:ext>
          </a:extLst>
        </xdr:cNvPr>
        <xdr:cNvSpPr/>
      </xdr:nvSpPr>
      <xdr:spPr>
        <a:xfrm>
          <a:off x="10115550" y="209550"/>
          <a:ext cx="466725" cy="409575"/>
        </a:xfrm>
        <a:prstGeom prst="ellips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14</xdr:row>
      <xdr:rowOff>38100</xdr:rowOff>
    </xdr:from>
    <xdr:to>
      <xdr:col>3</xdr:col>
      <xdr:colOff>571500</xdr:colOff>
      <xdr:row>16</xdr:row>
      <xdr:rowOff>76200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CFF88A3C-20A1-4115-BB4E-6832B4192979}"/>
            </a:ext>
          </a:extLst>
        </xdr:cNvPr>
        <xdr:cNvSpPr/>
      </xdr:nvSpPr>
      <xdr:spPr>
        <a:xfrm>
          <a:off x="1933575" y="2705100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</a:t>
          </a:r>
        </a:p>
        <a:p>
          <a:pPr algn="l"/>
          <a:endParaRPr lang="en-GB" sz="1100"/>
        </a:p>
      </xdr:txBody>
    </xdr:sp>
    <xdr:clientData/>
  </xdr:twoCellAnchor>
  <xdr:twoCellAnchor>
    <xdr:from>
      <xdr:col>18</xdr:col>
      <xdr:colOff>428625</xdr:colOff>
      <xdr:row>5</xdr:row>
      <xdr:rowOff>142875</xdr:rowOff>
    </xdr:from>
    <xdr:to>
      <xdr:col>19</xdr:col>
      <xdr:colOff>285750</xdr:colOff>
      <xdr:row>7</xdr:row>
      <xdr:rowOff>180975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993D6BB5-B8E9-43E4-B87F-D8F7BE2F3DA9}"/>
            </a:ext>
          </a:extLst>
        </xdr:cNvPr>
        <xdr:cNvSpPr/>
      </xdr:nvSpPr>
      <xdr:spPr>
        <a:xfrm>
          <a:off x="11401425" y="1095375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7</a:t>
          </a:r>
        </a:p>
        <a:p>
          <a:pPr algn="l"/>
          <a:endParaRPr lang="en-GB" sz="1100"/>
        </a:p>
      </xdr:txBody>
    </xdr:sp>
    <xdr:clientData/>
  </xdr:twoCellAnchor>
  <xdr:twoCellAnchor>
    <xdr:from>
      <xdr:col>14</xdr:col>
      <xdr:colOff>457200</xdr:colOff>
      <xdr:row>8</xdr:row>
      <xdr:rowOff>19050</xdr:rowOff>
    </xdr:from>
    <xdr:to>
      <xdr:col>15</xdr:col>
      <xdr:colOff>314325</xdr:colOff>
      <xdr:row>10</xdr:row>
      <xdr:rowOff>57150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1ED3BB35-274C-4F3A-A376-F8183369764C}"/>
            </a:ext>
          </a:extLst>
        </xdr:cNvPr>
        <xdr:cNvSpPr/>
      </xdr:nvSpPr>
      <xdr:spPr>
        <a:xfrm>
          <a:off x="8991600" y="1543050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6</a:t>
          </a:r>
        </a:p>
        <a:p>
          <a:pPr algn="l"/>
          <a:endParaRPr lang="en-GB" sz="1100"/>
        </a:p>
      </xdr:txBody>
    </xdr:sp>
    <xdr:clientData/>
  </xdr:twoCellAnchor>
  <xdr:twoCellAnchor>
    <xdr:from>
      <xdr:col>14</xdr:col>
      <xdr:colOff>504825</xdr:colOff>
      <xdr:row>0</xdr:row>
      <xdr:rowOff>9525</xdr:rowOff>
    </xdr:from>
    <xdr:to>
      <xdr:col>15</xdr:col>
      <xdr:colOff>361950</xdr:colOff>
      <xdr:row>2</xdr:row>
      <xdr:rowOff>47625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988E0F30-C4FF-4D58-8340-52EA9B1696E1}"/>
            </a:ext>
          </a:extLst>
        </xdr:cNvPr>
        <xdr:cNvSpPr/>
      </xdr:nvSpPr>
      <xdr:spPr>
        <a:xfrm>
          <a:off x="9039225" y="9525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5</a:t>
          </a:r>
        </a:p>
        <a:p>
          <a:pPr algn="l"/>
          <a:endParaRPr lang="en-GB" sz="1100"/>
        </a:p>
      </xdr:txBody>
    </xdr:sp>
    <xdr:clientData/>
  </xdr:twoCellAnchor>
  <xdr:twoCellAnchor>
    <xdr:from>
      <xdr:col>6</xdr:col>
      <xdr:colOff>142875</xdr:colOff>
      <xdr:row>13</xdr:row>
      <xdr:rowOff>85725</xdr:rowOff>
    </xdr:from>
    <xdr:to>
      <xdr:col>7</xdr:col>
      <xdr:colOff>0</xdr:colOff>
      <xdr:row>15</xdr:row>
      <xdr:rowOff>123825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5372EDD1-9726-42E5-9C72-62DDC1822C08}"/>
            </a:ext>
          </a:extLst>
        </xdr:cNvPr>
        <xdr:cNvSpPr/>
      </xdr:nvSpPr>
      <xdr:spPr>
        <a:xfrm>
          <a:off x="3800475" y="2562225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4</a:t>
          </a:r>
        </a:p>
        <a:p>
          <a:pPr algn="l"/>
          <a:endParaRPr lang="en-GB" sz="1100"/>
        </a:p>
      </xdr:txBody>
    </xdr:sp>
    <xdr:clientData/>
  </xdr:twoCellAnchor>
  <xdr:twoCellAnchor>
    <xdr:from>
      <xdr:col>9</xdr:col>
      <xdr:colOff>400050</xdr:colOff>
      <xdr:row>4</xdr:row>
      <xdr:rowOff>57150</xdr:rowOff>
    </xdr:from>
    <xdr:to>
      <xdr:col>10</xdr:col>
      <xdr:colOff>257175</xdr:colOff>
      <xdr:row>6</xdr:row>
      <xdr:rowOff>95250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3976B00C-8507-4BF4-AD15-2CAE90CF2A8E}"/>
            </a:ext>
          </a:extLst>
        </xdr:cNvPr>
        <xdr:cNvSpPr/>
      </xdr:nvSpPr>
      <xdr:spPr>
        <a:xfrm>
          <a:off x="5886450" y="819150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3</a:t>
          </a:r>
        </a:p>
        <a:p>
          <a:pPr algn="l"/>
          <a:endParaRPr lang="en-GB" sz="1100"/>
        </a:p>
      </xdr:txBody>
    </xdr:sp>
    <xdr:clientData/>
  </xdr:twoCellAnchor>
  <xdr:twoCellAnchor>
    <xdr:from>
      <xdr:col>6</xdr:col>
      <xdr:colOff>76200</xdr:colOff>
      <xdr:row>1</xdr:row>
      <xdr:rowOff>66675</xdr:rowOff>
    </xdr:from>
    <xdr:to>
      <xdr:col>6</xdr:col>
      <xdr:colOff>542925</xdr:colOff>
      <xdr:row>3</xdr:row>
      <xdr:rowOff>104775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670DE5FD-467D-4BFF-B529-A877A9900A85}"/>
            </a:ext>
          </a:extLst>
        </xdr:cNvPr>
        <xdr:cNvSpPr/>
      </xdr:nvSpPr>
      <xdr:spPr>
        <a:xfrm>
          <a:off x="3733800" y="257175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2</a:t>
          </a:r>
        </a:p>
        <a:p>
          <a:pPr algn="l"/>
          <a:endParaRPr lang="en-GB" sz="1100"/>
        </a:p>
      </xdr:txBody>
    </xdr:sp>
    <xdr:clientData/>
  </xdr:twoCellAnchor>
  <xdr:twoCellAnchor>
    <xdr:from>
      <xdr:col>23</xdr:col>
      <xdr:colOff>238125</xdr:colOff>
      <xdr:row>17</xdr:row>
      <xdr:rowOff>38100</xdr:rowOff>
    </xdr:from>
    <xdr:to>
      <xdr:col>24</xdr:col>
      <xdr:colOff>95250</xdr:colOff>
      <xdr:row>19</xdr:row>
      <xdr:rowOff>76200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2D788353-581C-435C-A954-D638CC8F06B5}"/>
            </a:ext>
          </a:extLst>
        </xdr:cNvPr>
        <xdr:cNvSpPr/>
      </xdr:nvSpPr>
      <xdr:spPr>
        <a:xfrm>
          <a:off x="14258925" y="3276600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10</a:t>
          </a:r>
        </a:p>
        <a:p>
          <a:pPr algn="l"/>
          <a:endParaRPr lang="en-GB" sz="1100"/>
        </a:p>
      </xdr:txBody>
    </xdr:sp>
    <xdr:clientData/>
  </xdr:twoCellAnchor>
  <xdr:twoCellAnchor>
    <xdr:from>
      <xdr:col>26</xdr:col>
      <xdr:colOff>238125</xdr:colOff>
      <xdr:row>6</xdr:row>
      <xdr:rowOff>47625</xdr:rowOff>
    </xdr:from>
    <xdr:to>
      <xdr:col>27</xdr:col>
      <xdr:colOff>66675</xdr:colOff>
      <xdr:row>8</xdr:row>
      <xdr:rowOff>85725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BD09556A-962B-4D7A-9C18-1F1A6F3BCA94}"/>
            </a:ext>
          </a:extLst>
        </xdr:cNvPr>
        <xdr:cNvSpPr/>
      </xdr:nvSpPr>
      <xdr:spPr>
        <a:xfrm>
          <a:off x="16087725" y="1190625"/>
          <a:ext cx="438150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9</a:t>
          </a:r>
        </a:p>
        <a:p>
          <a:pPr algn="l"/>
          <a:endParaRPr lang="en-GB" sz="1100"/>
        </a:p>
      </xdr:txBody>
    </xdr:sp>
    <xdr:clientData/>
  </xdr:twoCellAnchor>
  <xdr:twoCellAnchor>
    <xdr:from>
      <xdr:col>20</xdr:col>
      <xdr:colOff>57150</xdr:colOff>
      <xdr:row>9</xdr:row>
      <xdr:rowOff>0</xdr:rowOff>
    </xdr:from>
    <xdr:to>
      <xdr:col>21</xdr:col>
      <xdr:colOff>85725</xdr:colOff>
      <xdr:row>11</xdr:row>
      <xdr:rowOff>38100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F9C3C4BD-2CAB-44C4-B0CA-EBF9D3862775}"/>
            </a:ext>
          </a:extLst>
        </xdr:cNvPr>
        <xdr:cNvSpPr/>
      </xdr:nvSpPr>
      <xdr:spPr>
        <a:xfrm>
          <a:off x="12249150" y="1714500"/>
          <a:ext cx="63817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8</a:t>
          </a:r>
        </a:p>
        <a:p>
          <a:pPr algn="l"/>
          <a:endParaRPr lang="en-GB" sz="1100"/>
        </a:p>
      </xdr:txBody>
    </xdr:sp>
    <xdr:clientData/>
  </xdr:twoCellAnchor>
  <xdr:twoCellAnchor>
    <xdr:from>
      <xdr:col>30</xdr:col>
      <xdr:colOff>38100</xdr:colOff>
      <xdr:row>1</xdr:row>
      <xdr:rowOff>85725</xdr:rowOff>
    </xdr:from>
    <xdr:to>
      <xdr:col>30</xdr:col>
      <xdr:colOff>504825</xdr:colOff>
      <xdr:row>3</xdr:row>
      <xdr:rowOff>123825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BC13B06A-F8D6-4939-9595-668D2D75ADFC}"/>
            </a:ext>
          </a:extLst>
        </xdr:cNvPr>
        <xdr:cNvSpPr/>
      </xdr:nvSpPr>
      <xdr:spPr>
        <a:xfrm>
          <a:off x="18326100" y="276225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14</a:t>
          </a:r>
        </a:p>
        <a:p>
          <a:pPr algn="l"/>
          <a:endParaRPr lang="en-GB" sz="1100"/>
        </a:p>
      </xdr:txBody>
    </xdr:sp>
    <xdr:clientData/>
  </xdr:twoCellAnchor>
  <xdr:twoCellAnchor>
    <xdr:from>
      <xdr:col>31</xdr:col>
      <xdr:colOff>523875</xdr:colOff>
      <xdr:row>7</xdr:row>
      <xdr:rowOff>152400</xdr:rowOff>
    </xdr:from>
    <xdr:to>
      <xdr:col>32</xdr:col>
      <xdr:colOff>381000</xdr:colOff>
      <xdr:row>10</xdr:row>
      <xdr:rowOff>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C7E94D32-015E-4869-9DCE-EB74F795DA1F}"/>
            </a:ext>
          </a:extLst>
        </xdr:cNvPr>
        <xdr:cNvSpPr/>
      </xdr:nvSpPr>
      <xdr:spPr>
        <a:xfrm>
          <a:off x="19421475" y="1485900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12</a:t>
          </a:r>
        </a:p>
        <a:p>
          <a:pPr algn="l"/>
          <a:endParaRPr lang="en-GB" sz="1100"/>
        </a:p>
      </xdr:txBody>
    </xdr:sp>
    <xdr:clientData/>
  </xdr:twoCellAnchor>
  <xdr:twoCellAnchor>
    <xdr:from>
      <xdr:col>33</xdr:col>
      <xdr:colOff>38100</xdr:colOff>
      <xdr:row>3</xdr:row>
      <xdr:rowOff>171449</xdr:rowOff>
    </xdr:from>
    <xdr:to>
      <xdr:col>40</xdr:col>
      <xdr:colOff>342900</xdr:colOff>
      <xdr:row>22</xdr:row>
      <xdr:rowOff>180975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C6541246-5184-4B3F-9619-1DA26FEB4E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238125</xdr:colOff>
      <xdr:row>26</xdr:row>
      <xdr:rowOff>38100</xdr:rowOff>
    </xdr:from>
    <xdr:to>
      <xdr:col>24</xdr:col>
      <xdr:colOff>95250</xdr:colOff>
      <xdr:row>28</xdr:row>
      <xdr:rowOff>76200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5E98CFE-B1AD-47CB-B0E0-860F8B41AB7E}"/>
            </a:ext>
          </a:extLst>
        </xdr:cNvPr>
        <xdr:cNvSpPr/>
      </xdr:nvSpPr>
      <xdr:spPr>
        <a:xfrm>
          <a:off x="14258925" y="4991100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11</a:t>
          </a:r>
        </a:p>
        <a:p>
          <a:pPr algn="l"/>
          <a:endParaRPr lang="en-GB" sz="1100"/>
        </a:p>
      </xdr:txBody>
    </xdr:sp>
    <xdr:clientData/>
  </xdr:twoCellAnchor>
  <xdr:twoCellAnchor>
    <xdr:from>
      <xdr:col>31</xdr:col>
      <xdr:colOff>447675</xdr:colOff>
      <xdr:row>18</xdr:row>
      <xdr:rowOff>85725</xdr:rowOff>
    </xdr:from>
    <xdr:to>
      <xdr:col>32</xdr:col>
      <xdr:colOff>304800</xdr:colOff>
      <xdr:row>20</xdr:row>
      <xdr:rowOff>123825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D8695612-565F-428C-BADA-99C76262FC67}"/>
            </a:ext>
          </a:extLst>
        </xdr:cNvPr>
        <xdr:cNvSpPr/>
      </xdr:nvSpPr>
      <xdr:spPr>
        <a:xfrm>
          <a:off x="19345275" y="3514725"/>
          <a:ext cx="466725" cy="419100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13</a:t>
          </a:r>
        </a:p>
        <a:p>
          <a:pPr algn="l"/>
          <a:endParaRPr lang="en-GB" sz="1100"/>
        </a:p>
      </xdr:txBody>
    </xdr:sp>
    <xdr:clientData/>
  </xdr:twoCellAnchor>
  <xdr:twoCellAnchor>
    <xdr:from>
      <xdr:col>33</xdr:col>
      <xdr:colOff>23812</xdr:colOff>
      <xdr:row>22</xdr:row>
      <xdr:rowOff>161925</xdr:rowOff>
    </xdr:from>
    <xdr:to>
      <xdr:col>40</xdr:col>
      <xdr:colOff>328612</xdr:colOff>
      <xdr:row>42</xdr:row>
      <xdr:rowOff>180975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47FCC1F1-E9D9-446D-8D5A-A382126A8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7</xdr:row>
      <xdr:rowOff>0</xdr:rowOff>
    </xdr:from>
    <xdr:to>
      <xdr:col>28</xdr:col>
      <xdr:colOff>57150</xdr:colOff>
      <xdr:row>7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A41064-69B9-4D61-8984-B7F67C2AB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9200" y="1333500"/>
          <a:ext cx="666750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27</xdr:col>
      <xdr:colOff>0</xdr:colOff>
      <xdr:row>13</xdr:row>
      <xdr:rowOff>0</xdr:rowOff>
    </xdr:from>
    <xdr:to>
      <xdr:col>27</xdr:col>
      <xdr:colOff>600075</xdr:colOff>
      <xdr:row>13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264BFE-A850-443B-9301-872C20B3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9200" y="2476500"/>
          <a:ext cx="60007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95250</xdr:colOff>
      <xdr:row>16</xdr:row>
      <xdr:rowOff>38100</xdr:rowOff>
    </xdr:from>
    <xdr:to>
      <xdr:col>15</xdr:col>
      <xdr:colOff>561975</xdr:colOff>
      <xdr:row>18</xdr:row>
      <xdr:rowOff>76200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A696927-B8E9-454F-B96B-D76560C52F92}"/>
            </a:ext>
          </a:extLst>
        </xdr:cNvPr>
        <xdr:cNvSpPr/>
      </xdr:nvSpPr>
      <xdr:spPr>
        <a:xfrm>
          <a:off x="9239250" y="3086100"/>
          <a:ext cx="466725" cy="41910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4</a:t>
          </a:r>
        </a:p>
        <a:p>
          <a:pPr algn="l"/>
          <a:endParaRPr lang="en-GB" sz="1100"/>
        </a:p>
      </xdr:txBody>
    </xdr:sp>
    <xdr:clientData/>
  </xdr:twoCellAnchor>
  <xdr:twoCellAnchor>
    <xdr:from>
      <xdr:col>14</xdr:col>
      <xdr:colOff>390525</xdr:colOff>
      <xdr:row>6</xdr:row>
      <xdr:rowOff>9525</xdr:rowOff>
    </xdr:from>
    <xdr:to>
      <xdr:col>15</xdr:col>
      <xdr:colOff>247650</xdr:colOff>
      <xdr:row>8</xdr:row>
      <xdr:rowOff>47625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F86E51DC-7804-4611-98B4-E94F52465A7D}"/>
            </a:ext>
          </a:extLst>
        </xdr:cNvPr>
        <xdr:cNvSpPr/>
      </xdr:nvSpPr>
      <xdr:spPr>
        <a:xfrm>
          <a:off x="8924925" y="1152525"/>
          <a:ext cx="466725" cy="41910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3</a:t>
          </a:r>
        </a:p>
        <a:p>
          <a:pPr algn="l"/>
          <a:endParaRPr lang="en-GB" sz="1100"/>
        </a:p>
      </xdr:txBody>
    </xdr:sp>
    <xdr:clientData/>
  </xdr:twoCellAnchor>
  <xdr:twoCellAnchor>
    <xdr:from>
      <xdr:col>19</xdr:col>
      <xdr:colOff>590550</xdr:colOff>
      <xdr:row>6</xdr:row>
      <xdr:rowOff>47625</xdr:rowOff>
    </xdr:from>
    <xdr:to>
      <xdr:col>20</xdr:col>
      <xdr:colOff>447675</xdr:colOff>
      <xdr:row>8</xdr:row>
      <xdr:rowOff>85725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F61F8030-21D8-43F9-88F0-9614A42C6226}"/>
            </a:ext>
          </a:extLst>
        </xdr:cNvPr>
        <xdr:cNvSpPr/>
      </xdr:nvSpPr>
      <xdr:spPr>
        <a:xfrm>
          <a:off x="12172950" y="1190625"/>
          <a:ext cx="466725" cy="41910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5</a:t>
          </a:r>
        </a:p>
        <a:p>
          <a:pPr algn="l"/>
          <a:endParaRPr lang="en-GB" sz="1100"/>
        </a:p>
      </xdr:txBody>
    </xdr:sp>
    <xdr:clientData/>
  </xdr:twoCellAnchor>
  <xdr:twoCellAnchor>
    <xdr:from>
      <xdr:col>9</xdr:col>
      <xdr:colOff>428625</xdr:colOff>
      <xdr:row>6</xdr:row>
      <xdr:rowOff>104775</xdr:rowOff>
    </xdr:from>
    <xdr:to>
      <xdr:col>10</xdr:col>
      <xdr:colOff>285750</xdr:colOff>
      <xdr:row>8</xdr:row>
      <xdr:rowOff>142875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92DA386B-1D52-41F9-A65C-434A82CD63BE}"/>
            </a:ext>
          </a:extLst>
        </xdr:cNvPr>
        <xdr:cNvSpPr/>
      </xdr:nvSpPr>
      <xdr:spPr>
        <a:xfrm>
          <a:off x="5915025" y="1247775"/>
          <a:ext cx="466725" cy="41910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2</a:t>
          </a:r>
        </a:p>
        <a:p>
          <a:pPr algn="l"/>
          <a:endParaRPr lang="en-GB" sz="1100"/>
        </a:p>
      </xdr:txBody>
    </xdr:sp>
    <xdr:clientData/>
  </xdr:twoCellAnchor>
  <xdr:twoCellAnchor>
    <xdr:from>
      <xdr:col>34</xdr:col>
      <xdr:colOff>38100</xdr:colOff>
      <xdr:row>11</xdr:row>
      <xdr:rowOff>161925</xdr:rowOff>
    </xdr:from>
    <xdr:to>
      <xdr:col>34</xdr:col>
      <xdr:colOff>504825</xdr:colOff>
      <xdr:row>14</xdr:row>
      <xdr:rowOff>9525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D2995573-84A0-45D7-9EB9-690376FC6F3F}"/>
            </a:ext>
          </a:extLst>
        </xdr:cNvPr>
        <xdr:cNvSpPr/>
      </xdr:nvSpPr>
      <xdr:spPr>
        <a:xfrm>
          <a:off x="20764500" y="2257425"/>
          <a:ext cx="466725" cy="41910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8</a:t>
          </a:r>
        </a:p>
        <a:p>
          <a:pPr algn="l"/>
          <a:endParaRPr lang="en-GB" sz="1100"/>
        </a:p>
      </xdr:txBody>
    </xdr:sp>
    <xdr:clientData/>
  </xdr:twoCellAnchor>
  <xdr:twoCellAnchor>
    <xdr:from>
      <xdr:col>32</xdr:col>
      <xdr:colOff>323850</xdr:colOff>
      <xdr:row>3</xdr:row>
      <xdr:rowOff>9525</xdr:rowOff>
    </xdr:from>
    <xdr:to>
      <xdr:col>33</xdr:col>
      <xdr:colOff>180975</xdr:colOff>
      <xdr:row>5</xdr:row>
      <xdr:rowOff>47625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C9A76732-44F7-44CA-BE3D-6DC4A10C4AD2}"/>
            </a:ext>
          </a:extLst>
        </xdr:cNvPr>
        <xdr:cNvSpPr/>
      </xdr:nvSpPr>
      <xdr:spPr>
        <a:xfrm>
          <a:off x="19831050" y="581025"/>
          <a:ext cx="466725" cy="41910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7</a:t>
          </a:r>
        </a:p>
        <a:p>
          <a:pPr algn="l"/>
          <a:endParaRPr lang="en-GB" sz="1100"/>
        </a:p>
      </xdr:txBody>
    </xdr:sp>
    <xdr:clientData/>
  </xdr:twoCellAnchor>
  <xdr:twoCellAnchor>
    <xdr:from>
      <xdr:col>24</xdr:col>
      <xdr:colOff>476250</xdr:colOff>
      <xdr:row>7</xdr:row>
      <xdr:rowOff>57150</xdr:rowOff>
    </xdr:from>
    <xdr:to>
      <xdr:col>25</xdr:col>
      <xdr:colOff>333375</xdr:colOff>
      <xdr:row>9</xdr:row>
      <xdr:rowOff>95250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4DDBA111-C4CB-47A0-A5D0-6DF0256700D4}"/>
            </a:ext>
          </a:extLst>
        </xdr:cNvPr>
        <xdr:cNvSpPr/>
      </xdr:nvSpPr>
      <xdr:spPr>
        <a:xfrm>
          <a:off x="15106650" y="1390650"/>
          <a:ext cx="466725" cy="41910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6</a:t>
          </a:r>
        </a:p>
        <a:p>
          <a:pPr algn="l"/>
          <a:endParaRPr lang="en-GB" sz="1100"/>
        </a:p>
      </xdr:txBody>
    </xdr:sp>
    <xdr:clientData/>
  </xdr:twoCellAnchor>
  <xdr:twoCellAnchor>
    <xdr:from>
      <xdr:col>2</xdr:col>
      <xdr:colOff>409575</xdr:colOff>
      <xdr:row>16</xdr:row>
      <xdr:rowOff>123825</xdr:rowOff>
    </xdr:from>
    <xdr:to>
      <xdr:col>3</xdr:col>
      <xdr:colOff>266700</xdr:colOff>
      <xdr:row>18</xdr:row>
      <xdr:rowOff>161925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1AF3D4E-1390-47D4-BF3F-D2A5A3DAAA43}"/>
            </a:ext>
          </a:extLst>
        </xdr:cNvPr>
        <xdr:cNvSpPr/>
      </xdr:nvSpPr>
      <xdr:spPr>
        <a:xfrm>
          <a:off x="1628775" y="3171825"/>
          <a:ext cx="466725" cy="419100"/>
        </a:xfrm>
        <a:prstGeom prst="ellipse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</a:t>
          </a:r>
        </a:p>
        <a:p>
          <a:pPr algn="l"/>
          <a:endParaRPr lang="en-GB" sz="1100"/>
        </a:p>
      </xdr:txBody>
    </xdr:sp>
    <xdr:clientData/>
  </xdr:twoCellAnchor>
  <xdr:twoCellAnchor>
    <xdr:from>
      <xdr:col>0</xdr:col>
      <xdr:colOff>390525</xdr:colOff>
      <xdr:row>24</xdr:row>
      <xdr:rowOff>114300</xdr:rowOff>
    </xdr:from>
    <xdr:to>
      <xdr:col>20</xdr:col>
      <xdr:colOff>371475</xdr:colOff>
      <xdr:row>24</xdr:row>
      <xdr:rowOff>123825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9C5623C9-B63B-4D4C-90FD-B24C37600243}"/>
            </a:ext>
          </a:extLst>
        </xdr:cNvPr>
        <xdr:cNvCxnSpPr/>
      </xdr:nvCxnSpPr>
      <xdr:spPr>
        <a:xfrm>
          <a:off x="390525" y="4686300"/>
          <a:ext cx="12172950" cy="9525"/>
        </a:xfrm>
        <a:prstGeom prst="line">
          <a:avLst/>
        </a:prstGeom>
        <a:ln w="38100"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247650</xdr:colOff>
      <xdr:row>24</xdr:row>
      <xdr:rowOff>161925</xdr:rowOff>
    </xdr:from>
    <xdr:to>
      <xdr:col>39</xdr:col>
      <xdr:colOff>552450</xdr:colOff>
      <xdr:row>47</xdr:row>
      <xdr:rowOff>66675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9A8EFA65-45D2-42BC-B977-CA26C6A603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40</xdr:col>
      <xdr:colOff>581025</xdr:colOff>
      <xdr:row>24</xdr:row>
      <xdr:rowOff>161925</xdr:rowOff>
    </xdr:from>
    <xdr:to>
      <xdr:col>48</xdr:col>
      <xdr:colOff>276225</xdr:colOff>
      <xdr:row>47</xdr:row>
      <xdr:rowOff>66675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E00D2350-B86B-43F9-97D9-DF341A6CEE05}"/>
            </a:ext>
          </a:extLst>
        </xdr:cNvPr>
        <xdr:cNvGrpSpPr/>
      </xdr:nvGrpSpPr>
      <xdr:grpSpPr>
        <a:xfrm>
          <a:off x="25102185" y="4596765"/>
          <a:ext cx="4572000" cy="4110990"/>
          <a:chOff x="25003125" y="4838700"/>
          <a:chExt cx="4572000" cy="4286250"/>
        </a:xfrm>
      </xdr:grpSpPr>
      <xdr:graphicFrame macro="">
        <xdr:nvGraphicFramePr>
          <xdr:cNvPr id="15" name="Chart 14">
            <a:extLst>
              <a:ext uri="{FF2B5EF4-FFF2-40B4-BE49-F238E27FC236}">
                <a16:creationId xmlns:a16="http://schemas.microsoft.com/office/drawing/2014/main" id="{7913B9F8-A771-D1FB-43AC-9F76F2C3889C}"/>
              </a:ext>
            </a:extLst>
          </xdr:cNvPr>
          <xdr:cNvGraphicFramePr>
            <a:graphicFrameLocks/>
          </xdr:cNvGraphicFramePr>
        </xdr:nvGraphicFramePr>
        <xdr:xfrm>
          <a:off x="25003125" y="4838700"/>
          <a:ext cx="4572000" cy="42862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pSp>
        <xdr:nvGrpSpPr>
          <xdr:cNvPr id="16" name="Group 15">
            <a:extLst>
              <a:ext uri="{FF2B5EF4-FFF2-40B4-BE49-F238E27FC236}">
                <a16:creationId xmlns:a16="http://schemas.microsoft.com/office/drawing/2014/main" id="{0B2AEF41-B5FB-2ED1-0DAD-0B9CD1849AC2}"/>
              </a:ext>
            </a:extLst>
          </xdr:cNvPr>
          <xdr:cNvGrpSpPr/>
        </xdr:nvGrpSpPr>
        <xdr:grpSpPr>
          <a:xfrm>
            <a:off x="25898475" y="7143750"/>
            <a:ext cx="1400175" cy="666750"/>
            <a:chOff x="25888950" y="7343775"/>
            <a:chExt cx="1400175" cy="666750"/>
          </a:xfrm>
        </xdr:grpSpPr>
        <xdr:cxnSp macro="">
          <xdr:nvCxnSpPr>
            <xdr:cNvPr id="17" name="Straight Connector 16">
              <a:extLst>
                <a:ext uri="{FF2B5EF4-FFF2-40B4-BE49-F238E27FC236}">
                  <a16:creationId xmlns:a16="http://schemas.microsoft.com/office/drawing/2014/main" id="{555AC9D3-0F90-3BAD-EBCB-374235A9254E}"/>
                </a:ext>
              </a:extLst>
            </xdr:cNvPr>
            <xdr:cNvCxnSpPr/>
          </xdr:nvCxnSpPr>
          <xdr:spPr>
            <a:xfrm flipH="1">
              <a:off x="25888950" y="7343775"/>
              <a:ext cx="1390650" cy="219075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8" name="Straight Connector 17">
              <a:extLst>
                <a:ext uri="{FF2B5EF4-FFF2-40B4-BE49-F238E27FC236}">
                  <a16:creationId xmlns:a16="http://schemas.microsoft.com/office/drawing/2014/main" id="{9F86CEE1-3D24-AB3D-9D00-3D2D1FD1D39D}"/>
                </a:ext>
              </a:extLst>
            </xdr:cNvPr>
            <xdr:cNvCxnSpPr/>
          </xdr:nvCxnSpPr>
          <xdr:spPr>
            <a:xfrm flipH="1">
              <a:off x="26460450" y="7343775"/>
              <a:ext cx="828675" cy="66675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9" name="Freeform: Shape 18">
              <a:extLst>
                <a:ext uri="{FF2B5EF4-FFF2-40B4-BE49-F238E27FC236}">
                  <a16:creationId xmlns:a16="http://schemas.microsoft.com/office/drawing/2014/main" id="{F6F61BC6-8B3B-F9F0-6E2E-25F1302A057A}"/>
                </a:ext>
              </a:extLst>
            </xdr:cNvPr>
            <xdr:cNvSpPr/>
          </xdr:nvSpPr>
          <xdr:spPr>
            <a:xfrm>
              <a:off x="26831460" y="7400925"/>
              <a:ext cx="127705" cy="213216"/>
            </a:xfrm>
            <a:custGeom>
              <a:avLst/>
              <a:gdLst>
                <a:gd name="csX0" fmla="*/ 29040 w 127705"/>
                <a:gd name="csY0" fmla="*/ 0 h 213216"/>
                <a:gd name="csX1" fmla="*/ 465 w 127705"/>
                <a:gd name="csY1" fmla="*/ 85725 h 213216"/>
                <a:gd name="csX2" fmla="*/ 19515 w 127705"/>
                <a:gd name="csY2" fmla="*/ 171450 h 213216"/>
                <a:gd name="csX3" fmla="*/ 114765 w 127705"/>
                <a:gd name="csY3" fmla="*/ 209550 h 213216"/>
                <a:gd name="csX4" fmla="*/ 124290 w 127705"/>
                <a:gd name="csY4" fmla="*/ 209550 h 213216"/>
              </a:gdLst>
              <a:ahLst/>
              <a:cxnLst>
                <a:cxn ang="0">
                  <a:pos x="csX0" y="csY0"/>
                </a:cxn>
                <a:cxn ang="0">
                  <a:pos x="csX1" y="csY1"/>
                </a:cxn>
                <a:cxn ang="0">
                  <a:pos x="csX2" y="csY2"/>
                </a:cxn>
                <a:cxn ang="0">
                  <a:pos x="csX3" y="csY3"/>
                </a:cxn>
                <a:cxn ang="0">
                  <a:pos x="csX4" y="csY4"/>
                </a:cxn>
              </a:cxnLst>
              <a:rect l="l" t="t" r="r" b="b"/>
              <a:pathLst>
                <a:path w="127705" h="213216">
                  <a:moveTo>
                    <a:pt x="29040" y="0"/>
                  </a:moveTo>
                  <a:cubicBezTo>
                    <a:pt x="15546" y="28575"/>
                    <a:pt x="2052" y="57150"/>
                    <a:pt x="465" y="85725"/>
                  </a:cubicBezTo>
                  <a:cubicBezTo>
                    <a:pt x="-1123" y="114300"/>
                    <a:pt x="465" y="150813"/>
                    <a:pt x="19515" y="171450"/>
                  </a:cubicBezTo>
                  <a:cubicBezTo>
                    <a:pt x="38565" y="192087"/>
                    <a:pt x="114765" y="209550"/>
                    <a:pt x="114765" y="209550"/>
                  </a:cubicBezTo>
                  <a:cubicBezTo>
                    <a:pt x="132227" y="215900"/>
                    <a:pt x="128258" y="212725"/>
                    <a:pt x="124290" y="209550"/>
                  </a:cubicBezTo>
                </a:path>
              </a:pathLst>
            </a:custGeom>
            <a:noFill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</xdr:grpSp>
    </xdr:grpSp>
    <xdr:clientData/>
  </xdr:twoCellAnchor>
  <xdr:oneCellAnchor>
    <xdr:from>
      <xdr:col>41</xdr:col>
      <xdr:colOff>142875</xdr:colOff>
      <xdr:row>13</xdr:row>
      <xdr:rowOff>19050</xdr:rowOff>
    </xdr:from>
    <xdr:ext cx="39946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21489D5E-1988-448C-9BD0-824D8B14A027}"/>
                </a:ext>
              </a:extLst>
            </xdr:cNvPr>
            <xdr:cNvSpPr txBox="1"/>
          </xdr:nvSpPr>
          <xdr:spPr>
            <a:xfrm>
              <a:off x="25136475" y="2495550"/>
              <a:ext cx="39946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21489D5E-1988-448C-9BD0-824D8B14A027}"/>
                </a:ext>
              </a:extLst>
            </xdr:cNvPr>
            <xdr:cNvSpPr txBox="1"/>
          </xdr:nvSpPr>
          <xdr:spPr>
            <a:xfrm>
              <a:off x="25136475" y="2495550"/>
              <a:ext cx="39946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𝑥‖=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41</xdr:col>
      <xdr:colOff>133350</xdr:colOff>
      <xdr:row>14</xdr:row>
      <xdr:rowOff>19050</xdr:rowOff>
    </xdr:from>
    <xdr:ext cx="39946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A89506C4-555F-42C3-AC9B-7437B6B1B9E1}"/>
                </a:ext>
              </a:extLst>
            </xdr:cNvPr>
            <xdr:cNvSpPr txBox="1"/>
          </xdr:nvSpPr>
          <xdr:spPr>
            <a:xfrm>
              <a:off x="25126950" y="2686050"/>
              <a:ext cx="39946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A89506C4-555F-42C3-AC9B-7437B6B1B9E1}"/>
                </a:ext>
              </a:extLst>
            </xdr:cNvPr>
            <xdr:cNvSpPr txBox="1"/>
          </xdr:nvSpPr>
          <xdr:spPr>
            <a:xfrm>
              <a:off x="25126950" y="2686050"/>
              <a:ext cx="39946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𝑦‖=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276225</xdr:colOff>
      <xdr:row>14</xdr:row>
      <xdr:rowOff>28575</xdr:rowOff>
    </xdr:from>
    <xdr:to>
      <xdr:col>16</xdr:col>
      <xdr:colOff>581025</xdr:colOff>
      <xdr:row>28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F34125-660B-46DF-B1BF-607C27CF1A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476250</xdr:colOff>
      <xdr:row>19</xdr:row>
      <xdr:rowOff>95250</xdr:rowOff>
    </xdr:from>
    <xdr:to>
      <xdr:col>25</xdr:col>
      <xdr:colOff>171450</xdr:colOff>
      <xdr:row>33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B9E8CF3-EAA0-4456-A448-7A3B07FE76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276225</xdr:colOff>
      <xdr:row>11</xdr:row>
      <xdr:rowOff>19050</xdr:rowOff>
    </xdr:from>
    <xdr:to>
      <xdr:col>7</xdr:col>
      <xdr:colOff>581025</xdr:colOff>
      <xdr:row>25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BBEF174-6C06-4277-8903-577AE7F587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247650</xdr:colOff>
      <xdr:row>4</xdr:row>
      <xdr:rowOff>161925</xdr:rowOff>
    </xdr:from>
    <xdr:to>
      <xdr:col>11</xdr:col>
      <xdr:colOff>523875</xdr:colOff>
      <xdr:row>9</xdr:row>
      <xdr:rowOff>9525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9BEFB91D-33A3-4505-852F-7CDB06A76394}"/>
            </a:ext>
          </a:extLst>
        </xdr:cNvPr>
        <xdr:cNvSpPr/>
      </xdr:nvSpPr>
      <xdr:spPr>
        <a:xfrm>
          <a:off x="6343650" y="923925"/>
          <a:ext cx="885825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1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371475</xdr:colOff>
      <xdr:row>5</xdr:row>
      <xdr:rowOff>28575</xdr:rowOff>
    </xdr:from>
    <xdr:to>
      <xdr:col>25</xdr:col>
      <xdr:colOff>9525</xdr:colOff>
      <xdr:row>9</xdr:row>
      <xdr:rowOff>66675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5E9EA3EE-BFA4-432C-BB6F-C7DE52D68B5D}"/>
            </a:ext>
          </a:extLst>
        </xdr:cNvPr>
        <xdr:cNvSpPr/>
      </xdr:nvSpPr>
      <xdr:spPr>
        <a:xfrm>
          <a:off x="14392275" y="981075"/>
          <a:ext cx="85725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428625</xdr:colOff>
      <xdr:row>34</xdr:row>
      <xdr:rowOff>66675</xdr:rowOff>
    </xdr:from>
    <xdr:to>
      <xdr:col>25</xdr:col>
      <xdr:colOff>66675</xdr:colOff>
      <xdr:row>38</xdr:row>
      <xdr:rowOff>104775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20F00E67-4424-45EE-ABAE-3780EEC1CB49}"/>
            </a:ext>
          </a:extLst>
        </xdr:cNvPr>
        <xdr:cNvSpPr/>
      </xdr:nvSpPr>
      <xdr:spPr>
        <a:xfrm>
          <a:off x="14449425" y="6543675"/>
          <a:ext cx="85725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400050</xdr:colOff>
      <xdr:row>20</xdr:row>
      <xdr:rowOff>19050</xdr:rowOff>
    </xdr:from>
    <xdr:to>
      <xdr:col>25</xdr:col>
      <xdr:colOff>38100</xdr:colOff>
      <xdr:row>24</xdr:row>
      <xdr:rowOff>57150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36438561-3457-4F9F-BF91-1A5E3FDDB86E}"/>
            </a:ext>
          </a:extLst>
        </xdr:cNvPr>
        <xdr:cNvSpPr/>
      </xdr:nvSpPr>
      <xdr:spPr>
        <a:xfrm>
          <a:off x="14420850" y="3829050"/>
          <a:ext cx="85725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247650</xdr:colOff>
      <xdr:row>19</xdr:row>
      <xdr:rowOff>28575</xdr:rowOff>
    </xdr:from>
    <xdr:to>
      <xdr:col>11</xdr:col>
      <xdr:colOff>523875</xdr:colOff>
      <xdr:row>23</xdr:row>
      <xdr:rowOff>66675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5D01396F-1CED-47C5-9A65-FFAC0F44C8DD}"/>
            </a:ext>
          </a:extLst>
        </xdr:cNvPr>
        <xdr:cNvSpPr/>
      </xdr:nvSpPr>
      <xdr:spPr>
        <a:xfrm>
          <a:off x="6343650" y="3648075"/>
          <a:ext cx="885825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3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571500</xdr:colOff>
      <xdr:row>8</xdr:row>
      <xdr:rowOff>76200</xdr:rowOff>
    </xdr:from>
    <xdr:to>
      <xdr:col>3</xdr:col>
      <xdr:colOff>714375</xdr:colOff>
      <xdr:row>12</xdr:row>
      <xdr:rowOff>114300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780AADAD-A06D-4DE1-8FD8-E4DDBB7339C8}"/>
            </a:ext>
          </a:extLst>
        </xdr:cNvPr>
        <xdr:cNvSpPr/>
      </xdr:nvSpPr>
      <xdr:spPr>
        <a:xfrm>
          <a:off x="1790700" y="1600200"/>
          <a:ext cx="6477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4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323850</xdr:colOff>
      <xdr:row>33</xdr:row>
      <xdr:rowOff>133350</xdr:rowOff>
    </xdr:from>
    <xdr:to>
      <xdr:col>5</xdr:col>
      <xdr:colOff>742950</xdr:colOff>
      <xdr:row>37</xdr:row>
      <xdr:rowOff>171450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BEFBD0-E165-4DE8-98DA-6156CA4065D4}"/>
            </a:ext>
          </a:extLst>
        </xdr:cNvPr>
        <xdr:cNvSpPr/>
      </xdr:nvSpPr>
      <xdr:spPr>
        <a:xfrm>
          <a:off x="2762250" y="6419850"/>
          <a:ext cx="89535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5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247650</xdr:colOff>
      <xdr:row>33</xdr:row>
      <xdr:rowOff>171450</xdr:rowOff>
    </xdr:from>
    <xdr:to>
      <xdr:col>11</xdr:col>
      <xdr:colOff>523875</xdr:colOff>
      <xdr:row>38</xdr:row>
      <xdr:rowOff>19050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266B0C51-866E-4F5F-AB1C-F359D5FC4203}"/>
            </a:ext>
          </a:extLst>
        </xdr:cNvPr>
        <xdr:cNvSpPr/>
      </xdr:nvSpPr>
      <xdr:spPr>
        <a:xfrm>
          <a:off x="6343650" y="6457950"/>
          <a:ext cx="885825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6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619125</xdr:colOff>
      <xdr:row>33</xdr:row>
      <xdr:rowOff>142875</xdr:rowOff>
    </xdr:from>
    <xdr:to>
      <xdr:col>3</xdr:col>
      <xdr:colOff>762000</xdr:colOff>
      <xdr:row>37</xdr:row>
      <xdr:rowOff>180975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151BC82C-594E-43BA-A939-432175D3C2B9}"/>
            </a:ext>
          </a:extLst>
        </xdr:cNvPr>
        <xdr:cNvSpPr/>
      </xdr:nvSpPr>
      <xdr:spPr>
        <a:xfrm>
          <a:off x="1828800" y="6429375"/>
          <a:ext cx="6096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7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419100</xdr:colOff>
      <xdr:row>24</xdr:row>
      <xdr:rowOff>114300</xdr:rowOff>
    </xdr:from>
    <xdr:to>
      <xdr:col>1</xdr:col>
      <xdr:colOff>647700</xdr:colOff>
      <xdr:row>28</xdr:row>
      <xdr:rowOff>152400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375DBA5A-3781-4B83-88A7-02E9C3852B1C}"/>
            </a:ext>
          </a:extLst>
        </xdr:cNvPr>
        <xdr:cNvSpPr/>
      </xdr:nvSpPr>
      <xdr:spPr>
        <a:xfrm>
          <a:off x="419100" y="4686300"/>
          <a:ext cx="8001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8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561975</xdr:colOff>
      <xdr:row>24</xdr:row>
      <xdr:rowOff>95250</xdr:rowOff>
    </xdr:from>
    <xdr:to>
      <xdr:col>3</xdr:col>
      <xdr:colOff>704850</xdr:colOff>
      <xdr:row>28</xdr:row>
      <xdr:rowOff>133350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F864B043-E154-4496-8221-292C6355B056}"/>
            </a:ext>
          </a:extLst>
        </xdr:cNvPr>
        <xdr:cNvSpPr/>
      </xdr:nvSpPr>
      <xdr:spPr>
        <a:xfrm>
          <a:off x="1781175" y="4667250"/>
          <a:ext cx="657225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8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708025</xdr:colOff>
      <xdr:row>2</xdr:row>
      <xdr:rowOff>95250</xdr:rowOff>
    </xdr:from>
    <xdr:to>
      <xdr:col>3</xdr:col>
      <xdr:colOff>73025</xdr:colOff>
      <xdr:row>6</xdr:row>
      <xdr:rowOff>120650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6290573F-B3FB-4943-87C6-AB0605043AB2}"/>
            </a:ext>
          </a:extLst>
        </xdr:cNvPr>
        <xdr:cNvSpPr/>
      </xdr:nvSpPr>
      <xdr:spPr>
        <a:xfrm>
          <a:off x="1222375" y="476250"/>
          <a:ext cx="679450" cy="7874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0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173567</xdr:rowOff>
    </xdr:from>
    <xdr:to>
      <xdr:col>6</xdr:col>
      <xdr:colOff>592667</xdr:colOff>
      <xdr:row>41</xdr:row>
      <xdr:rowOff>59267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C30626B-7E90-4084-B0EB-527D18BE976F}"/>
            </a:ext>
          </a:extLst>
        </xdr:cNvPr>
        <xdr:cNvGrpSpPr/>
      </xdr:nvGrpSpPr>
      <xdr:grpSpPr>
        <a:xfrm>
          <a:off x="0" y="5228167"/>
          <a:ext cx="4656667" cy="2679700"/>
          <a:chOff x="0" y="5412317"/>
          <a:chExt cx="4555067" cy="2743200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CEA0E552-84D9-44FB-9D28-549C26AE3DBB}"/>
              </a:ext>
            </a:extLst>
          </xdr:cNvPr>
          <xdr:cNvGraphicFramePr/>
        </xdr:nvGraphicFramePr>
        <xdr:xfrm>
          <a:off x="0" y="5412317"/>
          <a:ext cx="4555067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Oval 3">
            <a:extLst>
              <a:ext uri="{FF2B5EF4-FFF2-40B4-BE49-F238E27FC236}">
                <a16:creationId xmlns:a16="http://schemas.microsoft.com/office/drawing/2014/main" id="{E425D26E-8684-8E20-C1AF-030B7E8683CC}"/>
              </a:ext>
            </a:extLst>
          </xdr:cNvPr>
          <xdr:cNvSpPr/>
        </xdr:nvSpPr>
        <xdr:spPr>
          <a:xfrm>
            <a:off x="823779" y="5890367"/>
            <a:ext cx="182488" cy="186049"/>
          </a:xfrm>
          <a:prstGeom prst="ellipse">
            <a:avLst/>
          </a:prstGeom>
          <a:solidFill>
            <a:srgbClr val="FF000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5" name="Oval 4">
            <a:extLst>
              <a:ext uri="{FF2B5EF4-FFF2-40B4-BE49-F238E27FC236}">
                <a16:creationId xmlns:a16="http://schemas.microsoft.com/office/drawing/2014/main" id="{9946E07A-5152-CA25-1CE7-072A0A071B56}"/>
              </a:ext>
            </a:extLst>
          </xdr:cNvPr>
          <xdr:cNvSpPr/>
        </xdr:nvSpPr>
        <xdr:spPr>
          <a:xfrm>
            <a:off x="3540807" y="7668248"/>
            <a:ext cx="182488" cy="186049"/>
          </a:xfrm>
          <a:prstGeom prst="ellipse">
            <a:avLst/>
          </a:prstGeom>
          <a:solidFill>
            <a:srgbClr val="00B0F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6" name="Oval 5">
            <a:extLst>
              <a:ext uri="{FF2B5EF4-FFF2-40B4-BE49-F238E27FC236}">
                <a16:creationId xmlns:a16="http://schemas.microsoft.com/office/drawing/2014/main" id="{75663A4E-4388-46D8-72C4-86FBE505EDBE}"/>
              </a:ext>
            </a:extLst>
          </xdr:cNvPr>
          <xdr:cNvSpPr/>
        </xdr:nvSpPr>
        <xdr:spPr>
          <a:xfrm>
            <a:off x="3630894" y="5990424"/>
            <a:ext cx="182488" cy="186049"/>
          </a:xfrm>
          <a:prstGeom prst="ellipse">
            <a:avLst/>
          </a:prstGeom>
          <a:solidFill>
            <a:srgbClr val="00B05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7" name="Oval 6">
            <a:extLst>
              <a:ext uri="{FF2B5EF4-FFF2-40B4-BE49-F238E27FC236}">
                <a16:creationId xmlns:a16="http://schemas.microsoft.com/office/drawing/2014/main" id="{8B86C532-8E9B-BE5B-4F19-49A2E622AF00}"/>
              </a:ext>
            </a:extLst>
          </xdr:cNvPr>
          <xdr:cNvSpPr/>
        </xdr:nvSpPr>
        <xdr:spPr>
          <a:xfrm>
            <a:off x="3373808" y="6319081"/>
            <a:ext cx="182488" cy="186049"/>
          </a:xfrm>
          <a:prstGeom prst="ellipse">
            <a:avLst/>
          </a:prstGeom>
          <a:solidFill>
            <a:srgbClr val="00B05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8" name="Oval 7">
            <a:extLst>
              <a:ext uri="{FF2B5EF4-FFF2-40B4-BE49-F238E27FC236}">
                <a16:creationId xmlns:a16="http://schemas.microsoft.com/office/drawing/2014/main" id="{94D18D31-FD5D-68A9-A8D0-F3E1C37910B4}"/>
              </a:ext>
            </a:extLst>
          </xdr:cNvPr>
          <xdr:cNvSpPr/>
        </xdr:nvSpPr>
        <xdr:spPr>
          <a:xfrm>
            <a:off x="1255520" y="6802809"/>
            <a:ext cx="182844" cy="186049"/>
          </a:xfrm>
          <a:prstGeom prst="ellipse">
            <a:avLst/>
          </a:prstGeom>
          <a:solidFill>
            <a:srgbClr val="FFFF0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9" name="Oval 8">
            <a:extLst>
              <a:ext uri="{FF2B5EF4-FFF2-40B4-BE49-F238E27FC236}">
                <a16:creationId xmlns:a16="http://schemas.microsoft.com/office/drawing/2014/main" id="{554824F5-B63F-0C94-8D04-281C053D88E2}"/>
              </a:ext>
            </a:extLst>
          </xdr:cNvPr>
          <xdr:cNvSpPr/>
        </xdr:nvSpPr>
        <xdr:spPr>
          <a:xfrm>
            <a:off x="508475" y="7211583"/>
            <a:ext cx="182844" cy="186049"/>
          </a:xfrm>
          <a:prstGeom prst="ellipse">
            <a:avLst/>
          </a:prstGeom>
          <a:solidFill>
            <a:srgbClr val="FFFF0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>
    <xdr:from>
      <xdr:col>8</xdr:col>
      <xdr:colOff>0</xdr:colOff>
      <xdr:row>27</xdr:row>
      <xdr:rowOff>4233</xdr:rowOff>
    </xdr:from>
    <xdr:to>
      <xdr:col>15</xdr:col>
      <xdr:colOff>275167</xdr:colOff>
      <xdr:row>41</xdr:row>
      <xdr:rowOff>80433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1FA3CD9C-E0DB-4E11-BA09-03F98D82B9F5}"/>
            </a:ext>
          </a:extLst>
        </xdr:cNvPr>
        <xdr:cNvGrpSpPr/>
      </xdr:nvGrpSpPr>
      <xdr:grpSpPr>
        <a:xfrm>
          <a:off x="5283200" y="5245100"/>
          <a:ext cx="4525434" cy="2683933"/>
          <a:chOff x="5181600" y="5433483"/>
          <a:chExt cx="4542367" cy="2743200"/>
        </a:xfrm>
      </xdr:grpSpPr>
      <xdr:graphicFrame macro="">
        <xdr:nvGraphicFramePr>
          <xdr:cNvPr id="11" name="Chart 10">
            <a:extLst>
              <a:ext uri="{FF2B5EF4-FFF2-40B4-BE49-F238E27FC236}">
                <a16:creationId xmlns:a16="http://schemas.microsoft.com/office/drawing/2014/main" id="{D74BE6C7-0994-8606-42F0-8F409F794C88}"/>
              </a:ext>
            </a:extLst>
          </xdr:cNvPr>
          <xdr:cNvGraphicFramePr/>
        </xdr:nvGraphicFramePr>
        <xdr:xfrm>
          <a:off x="5181600" y="5433483"/>
          <a:ext cx="4542367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2" name="Oval 11">
            <a:extLst>
              <a:ext uri="{FF2B5EF4-FFF2-40B4-BE49-F238E27FC236}">
                <a16:creationId xmlns:a16="http://schemas.microsoft.com/office/drawing/2014/main" id="{54301041-24FE-E0B7-A768-00EBB0B5A1C1}"/>
              </a:ext>
            </a:extLst>
          </xdr:cNvPr>
          <xdr:cNvSpPr/>
        </xdr:nvSpPr>
        <xdr:spPr>
          <a:xfrm>
            <a:off x="6016061" y="6081935"/>
            <a:ext cx="182488" cy="186049"/>
          </a:xfrm>
          <a:prstGeom prst="ellipse">
            <a:avLst/>
          </a:prstGeom>
          <a:solidFill>
            <a:srgbClr val="00B0F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3" name="Oval 12">
            <a:extLst>
              <a:ext uri="{FF2B5EF4-FFF2-40B4-BE49-F238E27FC236}">
                <a16:creationId xmlns:a16="http://schemas.microsoft.com/office/drawing/2014/main" id="{1E1D2461-A686-EAC9-4EB1-2111C24EEE3B}"/>
              </a:ext>
            </a:extLst>
          </xdr:cNvPr>
          <xdr:cNvSpPr/>
        </xdr:nvSpPr>
        <xdr:spPr>
          <a:xfrm>
            <a:off x="6201398" y="7405999"/>
            <a:ext cx="182488" cy="186049"/>
          </a:xfrm>
          <a:prstGeom prst="ellipse">
            <a:avLst/>
          </a:prstGeom>
          <a:solidFill>
            <a:srgbClr val="00B05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4" name="Oval 13">
            <a:extLst>
              <a:ext uri="{FF2B5EF4-FFF2-40B4-BE49-F238E27FC236}">
                <a16:creationId xmlns:a16="http://schemas.microsoft.com/office/drawing/2014/main" id="{019824BB-281F-A060-DFCF-2B37AC765F3D}"/>
              </a:ext>
            </a:extLst>
          </xdr:cNvPr>
          <xdr:cNvSpPr/>
        </xdr:nvSpPr>
        <xdr:spPr>
          <a:xfrm>
            <a:off x="5944312" y="7734656"/>
            <a:ext cx="182488" cy="186049"/>
          </a:xfrm>
          <a:prstGeom prst="ellipse">
            <a:avLst/>
          </a:prstGeom>
          <a:solidFill>
            <a:srgbClr val="00B05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5" name="Oval 14">
            <a:extLst>
              <a:ext uri="{FF2B5EF4-FFF2-40B4-BE49-F238E27FC236}">
                <a16:creationId xmlns:a16="http://schemas.microsoft.com/office/drawing/2014/main" id="{6E058DEE-722E-14DB-9155-F42FA7F31F7C}"/>
              </a:ext>
            </a:extLst>
          </xdr:cNvPr>
          <xdr:cNvSpPr/>
        </xdr:nvSpPr>
        <xdr:spPr>
          <a:xfrm>
            <a:off x="9027920" y="6527385"/>
            <a:ext cx="182844" cy="186049"/>
          </a:xfrm>
          <a:prstGeom prst="ellipse">
            <a:avLst/>
          </a:prstGeom>
          <a:solidFill>
            <a:srgbClr val="FFFF0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6" name="Oval 15">
            <a:extLst>
              <a:ext uri="{FF2B5EF4-FFF2-40B4-BE49-F238E27FC236}">
                <a16:creationId xmlns:a16="http://schemas.microsoft.com/office/drawing/2014/main" id="{5C50514A-1124-A69F-78C4-B1E337ECA739}"/>
              </a:ext>
            </a:extLst>
          </xdr:cNvPr>
          <xdr:cNvSpPr/>
        </xdr:nvSpPr>
        <xdr:spPr>
          <a:xfrm>
            <a:off x="8280875" y="6936159"/>
            <a:ext cx="182844" cy="186049"/>
          </a:xfrm>
          <a:prstGeom prst="ellipse">
            <a:avLst/>
          </a:prstGeom>
          <a:solidFill>
            <a:srgbClr val="FFFF0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7" name="Oval 16">
            <a:extLst>
              <a:ext uri="{FF2B5EF4-FFF2-40B4-BE49-F238E27FC236}">
                <a16:creationId xmlns:a16="http://schemas.microsoft.com/office/drawing/2014/main" id="{79D46D0A-C060-7BAC-4F52-2A40C378CBF1}"/>
              </a:ext>
            </a:extLst>
          </xdr:cNvPr>
          <xdr:cNvSpPr/>
        </xdr:nvSpPr>
        <xdr:spPr>
          <a:xfrm>
            <a:off x="8719648" y="7839342"/>
            <a:ext cx="182488" cy="186049"/>
          </a:xfrm>
          <a:prstGeom prst="ellipse">
            <a:avLst/>
          </a:prstGeom>
          <a:solidFill>
            <a:srgbClr val="FF000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>
    <xdr:from>
      <xdr:col>0</xdr:col>
      <xdr:colOff>449036</xdr:colOff>
      <xdr:row>29</xdr:row>
      <xdr:rowOff>51102</xdr:rowOff>
    </xdr:from>
    <xdr:to>
      <xdr:col>5</xdr:col>
      <xdr:colOff>551089</xdr:colOff>
      <xdr:row>39</xdr:row>
      <xdr:rowOff>142875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4DC58440-07E3-4306-A0CD-26859AAB4D17}"/>
            </a:ext>
          </a:extLst>
        </xdr:cNvPr>
        <xdr:cNvGrpSpPr/>
      </xdr:nvGrpSpPr>
      <xdr:grpSpPr>
        <a:xfrm>
          <a:off x="449036" y="5664502"/>
          <a:ext cx="3556453" cy="1954440"/>
          <a:chOff x="449036" y="5854025"/>
          <a:chExt cx="3465111" cy="1996773"/>
        </a:xfrm>
      </xdr:grpSpPr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4B0B62B7-CF24-4FBE-0164-86F1DC6E8FE8}"/>
              </a:ext>
            </a:extLst>
          </xdr:cNvPr>
          <xdr:cNvSpPr txBox="1"/>
        </xdr:nvSpPr>
        <xdr:spPr>
          <a:xfrm>
            <a:off x="449036" y="7170440"/>
            <a:ext cx="341748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P1</a:t>
            </a:r>
          </a:p>
        </xdr:txBody>
      </xdr:sp>
      <xdr:sp macro="" textlink="">
        <xdr:nvSpPr>
          <xdr:cNvPr id="20" name="TextBox 19">
            <a:extLst>
              <a:ext uri="{FF2B5EF4-FFF2-40B4-BE49-F238E27FC236}">
                <a16:creationId xmlns:a16="http://schemas.microsoft.com/office/drawing/2014/main" id="{97F427FD-A38F-7D56-0120-1CB77FCF1722}"/>
              </a:ext>
            </a:extLst>
          </xdr:cNvPr>
          <xdr:cNvSpPr txBox="1"/>
        </xdr:nvSpPr>
        <xdr:spPr>
          <a:xfrm>
            <a:off x="749963" y="5854025"/>
            <a:ext cx="340178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P2</a:t>
            </a:r>
          </a:p>
        </xdr:txBody>
      </xdr:sp>
      <xdr:sp macro="" textlink="">
        <xdr:nvSpPr>
          <xdr:cNvPr id="21" name="TextBox 20">
            <a:extLst>
              <a:ext uri="{FF2B5EF4-FFF2-40B4-BE49-F238E27FC236}">
                <a16:creationId xmlns:a16="http://schemas.microsoft.com/office/drawing/2014/main" id="{E08CC647-F5C8-CD50-C8AE-A84DD347F91C}"/>
              </a:ext>
            </a:extLst>
          </xdr:cNvPr>
          <xdr:cNvSpPr txBox="1"/>
        </xdr:nvSpPr>
        <xdr:spPr>
          <a:xfrm>
            <a:off x="3573969" y="5956079"/>
            <a:ext cx="340178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P3</a:t>
            </a:r>
          </a:p>
        </xdr:txBody>
      </xdr:sp>
      <xdr:sp macro="" textlink="">
        <xdr:nvSpPr>
          <xdr:cNvPr id="22" name="TextBox 21">
            <a:extLst>
              <a:ext uri="{FF2B5EF4-FFF2-40B4-BE49-F238E27FC236}">
                <a16:creationId xmlns:a16="http://schemas.microsoft.com/office/drawing/2014/main" id="{6215962F-9C72-36E7-BB13-CAF9CE26F8E9}"/>
              </a:ext>
            </a:extLst>
          </xdr:cNvPr>
          <xdr:cNvSpPr txBox="1"/>
        </xdr:nvSpPr>
        <xdr:spPr>
          <a:xfrm>
            <a:off x="3485522" y="7626280"/>
            <a:ext cx="340178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P4</a:t>
            </a:r>
          </a:p>
        </xdr:txBody>
      </xdr:sp>
      <xdr:sp macro="" textlink="">
        <xdr:nvSpPr>
          <xdr:cNvPr id="23" name="TextBox 22">
            <a:extLst>
              <a:ext uri="{FF2B5EF4-FFF2-40B4-BE49-F238E27FC236}">
                <a16:creationId xmlns:a16="http://schemas.microsoft.com/office/drawing/2014/main" id="{C4B949DE-2EF9-FD19-80C0-CDB5FB51B5AF}"/>
              </a:ext>
            </a:extLst>
          </xdr:cNvPr>
          <xdr:cNvSpPr txBox="1"/>
        </xdr:nvSpPr>
        <xdr:spPr>
          <a:xfrm>
            <a:off x="1192195" y="6762227"/>
            <a:ext cx="341749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P5</a:t>
            </a:r>
          </a:p>
        </xdr:txBody>
      </xdr:sp>
      <xdr:sp macro="" textlink="">
        <xdr:nvSpPr>
          <xdr:cNvPr id="24" name="TextBox 23">
            <a:extLst>
              <a:ext uri="{FF2B5EF4-FFF2-40B4-BE49-F238E27FC236}">
                <a16:creationId xmlns:a16="http://schemas.microsoft.com/office/drawing/2014/main" id="{90A39894-2D8A-741A-868E-90BED9C7A7CC}"/>
              </a:ext>
            </a:extLst>
          </xdr:cNvPr>
          <xdr:cNvSpPr txBox="1"/>
        </xdr:nvSpPr>
        <xdr:spPr>
          <a:xfrm>
            <a:off x="3319619" y="6279173"/>
            <a:ext cx="335992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P6</a:t>
            </a:r>
          </a:p>
        </xdr:txBody>
      </xdr:sp>
    </xdr:grpSp>
    <xdr:clientData/>
  </xdr:twoCellAnchor>
  <xdr:twoCellAnchor>
    <xdr:from>
      <xdr:col>9</xdr:col>
      <xdr:colOff>85305</xdr:colOff>
      <xdr:row>30</xdr:row>
      <xdr:rowOff>43101</xdr:rowOff>
    </xdr:from>
    <xdr:to>
      <xdr:col>14</xdr:col>
      <xdr:colOff>457408</xdr:colOff>
      <xdr:row>40</xdr:row>
      <xdr:rowOff>121941</xdr:rowOff>
    </xdr:to>
    <xdr:grpSp>
      <xdr:nvGrpSpPr>
        <xdr:cNvPr id="25" name="Group 24">
          <a:extLst>
            <a:ext uri="{FF2B5EF4-FFF2-40B4-BE49-F238E27FC236}">
              <a16:creationId xmlns:a16="http://schemas.microsoft.com/office/drawing/2014/main" id="{C4E80CD1-4C58-48F0-85A5-02DF0DB14196}"/>
            </a:ext>
          </a:extLst>
        </xdr:cNvPr>
        <xdr:cNvGrpSpPr/>
      </xdr:nvGrpSpPr>
      <xdr:grpSpPr>
        <a:xfrm>
          <a:off x="5978105" y="5842768"/>
          <a:ext cx="3403170" cy="1941506"/>
          <a:chOff x="5880901" y="6036524"/>
          <a:chExt cx="3412776" cy="1983840"/>
        </a:xfrm>
      </xdr:grpSpPr>
      <xdr:sp macro="" textlink="">
        <xdr:nvSpPr>
          <xdr:cNvPr id="26" name="TextBox 25">
            <a:extLst>
              <a:ext uri="{FF2B5EF4-FFF2-40B4-BE49-F238E27FC236}">
                <a16:creationId xmlns:a16="http://schemas.microsoft.com/office/drawing/2014/main" id="{9872B641-823F-A04A-549A-017598D24550}"/>
              </a:ext>
            </a:extLst>
          </xdr:cNvPr>
          <xdr:cNvSpPr txBox="1"/>
        </xdr:nvSpPr>
        <xdr:spPr>
          <a:xfrm>
            <a:off x="8953499" y="6481895"/>
            <a:ext cx="340178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P1</a:t>
            </a:r>
          </a:p>
        </xdr:txBody>
      </xdr:sp>
      <xdr:sp macro="" textlink="">
        <xdr:nvSpPr>
          <xdr:cNvPr id="27" name="TextBox 26">
            <a:extLst>
              <a:ext uri="{FF2B5EF4-FFF2-40B4-BE49-F238E27FC236}">
                <a16:creationId xmlns:a16="http://schemas.microsoft.com/office/drawing/2014/main" id="{2D4626D7-CAD1-BD8E-1DF8-9D7123514C90}"/>
              </a:ext>
            </a:extLst>
          </xdr:cNvPr>
          <xdr:cNvSpPr txBox="1"/>
        </xdr:nvSpPr>
        <xdr:spPr>
          <a:xfrm>
            <a:off x="8652048" y="7795846"/>
            <a:ext cx="335992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P2</a:t>
            </a:r>
          </a:p>
        </xdr:txBody>
      </xdr:sp>
      <xdr:sp macro="" textlink="">
        <xdr:nvSpPr>
          <xdr:cNvPr id="28" name="TextBox 27">
            <a:extLst>
              <a:ext uri="{FF2B5EF4-FFF2-40B4-BE49-F238E27FC236}">
                <a16:creationId xmlns:a16="http://schemas.microsoft.com/office/drawing/2014/main" id="{9B157721-C9BF-F759-F131-23B0F866A91E}"/>
              </a:ext>
            </a:extLst>
          </xdr:cNvPr>
          <xdr:cNvSpPr txBox="1"/>
        </xdr:nvSpPr>
        <xdr:spPr>
          <a:xfrm>
            <a:off x="6142579" y="7363035"/>
            <a:ext cx="340178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P3</a:t>
            </a:r>
          </a:p>
        </xdr:txBody>
      </xdr:sp>
      <xdr:sp macro="" textlink="">
        <xdr:nvSpPr>
          <xdr:cNvPr id="29" name="TextBox 28">
            <a:extLst>
              <a:ext uri="{FF2B5EF4-FFF2-40B4-BE49-F238E27FC236}">
                <a16:creationId xmlns:a16="http://schemas.microsoft.com/office/drawing/2014/main" id="{FA49320E-9924-069C-C10A-6014FA4122E3}"/>
              </a:ext>
            </a:extLst>
          </xdr:cNvPr>
          <xdr:cNvSpPr txBox="1"/>
        </xdr:nvSpPr>
        <xdr:spPr>
          <a:xfrm>
            <a:off x="5948414" y="6036524"/>
            <a:ext cx="335992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P4</a:t>
            </a:r>
          </a:p>
        </xdr:txBody>
      </xdr:sp>
      <xdr:sp macro="" textlink="">
        <xdr:nvSpPr>
          <xdr:cNvPr id="30" name="TextBox 29">
            <a:extLst>
              <a:ext uri="{FF2B5EF4-FFF2-40B4-BE49-F238E27FC236}">
                <a16:creationId xmlns:a16="http://schemas.microsoft.com/office/drawing/2014/main" id="{F29A115B-EBE5-09FB-BB81-AB2B67BCC782}"/>
              </a:ext>
            </a:extLst>
          </xdr:cNvPr>
          <xdr:cNvSpPr txBox="1"/>
        </xdr:nvSpPr>
        <xdr:spPr>
          <a:xfrm>
            <a:off x="8218191" y="6894298"/>
            <a:ext cx="340178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P5</a:t>
            </a:r>
          </a:p>
        </xdr:txBody>
      </xdr:sp>
      <xdr:sp macro="" textlink="">
        <xdr:nvSpPr>
          <xdr:cNvPr id="31" name="TextBox 30">
            <a:extLst>
              <a:ext uri="{FF2B5EF4-FFF2-40B4-BE49-F238E27FC236}">
                <a16:creationId xmlns:a16="http://schemas.microsoft.com/office/drawing/2014/main" id="{4564E5A7-FFD0-574F-B063-ECE65BE8B5EA}"/>
              </a:ext>
            </a:extLst>
          </xdr:cNvPr>
          <xdr:cNvSpPr txBox="1"/>
        </xdr:nvSpPr>
        <xdr:spPr>
          <a:xfrm>
            <a:off x="5880901" y="7693456"/>
            <a:ext cx="335992" cy="224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P6</a:t>
            </a:r>
          </a:p>
        </xdr:txBody>
      </xdr:sp>
    </xdr:grpSp>
    <xdr:clientData/>
  </xdr:twoCellAnchor>
  <xdr:twoCellAnchor>
    <xdr:from>
      <xdr:col>11</xdr:col>
      <xdr:colOff>127000</xdr:colOff>
      <xdr:row>19</xdr:row>
      <xdr:rowOff>21167</xdr:rowOff>
    </xdr:from>
    <xdr:to>
      <xdr:col>12</xdr:col>
      <xdr:colOff>241300</xdr:colOff>
      <xdr:row>21</xdr:row>
      <xdr:rowOff>21167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A22EFFB9-FD48-465E-A5AB-518AA7CF2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32600" y="3640667"/>
          <a:ext cx="7239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84668</xdr:colOff>
      <xdr:row>19</xdr:row>
      <xdr:rowOff>137583</xdr:rowOff>
    </xdr:from>
    <xdr:to>
      <xdr:col>16</xdr:col>
      <xdr:colOff>389468</xdr:colOff>
      <xdr:row>20</xdr:row>
      <xdr:rowOff>166158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4C834EAE-FEDD-4F66-8E9A-CA863CDF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8668" y="3757083"/>
          <a:ext cx="91440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79375</xdr:colOff>
      <xdr:row>14</xdr:row>
      <xdr:rowOff>47625</xdr:rowOff>
    </xdr:from>
    <xdr:to>
      <xdr:col>11</xdr:col>
      <xdr:colOff>304800</xdr:colOff>
      <xdr:row>18</xdr:row>
      <xdr:rowOff>85725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756F651C-2611-4D6D-B6C8-837236A47147}"/>
            </a:ext>
          </a:extLst>
        </xdr:cNvPr>
        <xdr:cNvSpPr/>
      </xdr:nvSpPr>
      <xdr:spPr>
        <a:xfrm>
          <a:off x="6175375" y="2714625"/>
          <a:ext cx="835025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1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66675</xdr:colOff>
      <xdr:row>2</xdr:row>
      <xdr:rowOff>104775</xdr:rowOff>
    </xdr:from>
    <xdr:to>
      <xdr:col>2</xdr:col>
      <xdr:colOff>282575</xdr:colOff>
      <xdr:row>6</xdr:row>
      <xdr:rowOff>130175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B89BB41D-6CBD-498D-A350-422D9821FD01}"/>
            </a:ext>
          </a:extLst>
        </xdr:cNvPr>
        <xdr:cNvSpPr/>
      </xdr:nvSpPr>
      <xdr:spPr>
        <a:xfrm>
          <a:off x="676275" y="485775"/>
          <a:ext cx="825500" cy="7874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0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46</xdr:row>
      <xdr:rowOff>169067</xdr:rowOff>
    </xdr:from>
    <xdr:to>
      <xdr:col>13</xdr:col>
      <xdr:colOff>390525</xdr:colOff>
      <xdr:row>61</xdr:row>
      <xdr:rowOff>54767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F99EFD-5AB6-474A-8E68-C2941E18B8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46</xdr:row>
      <xdr:rowOff>130967</xdr:rowOff>
    </xdr:from>
    <xdr:to>
      <xdr:col>23</xdr:col>
      <xdr:colOff>438150</xdr:colOff>
      <xdr:row>61</xdr:row>
      <xdr:rowOff>16667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4DEF49-D3FC-4A14-BB7A-07A7166BB0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0</xdr:colOff>
      <xdr:row>27</xdr:row>
      <xdr:rowOff>83343</xdr:rowOff>
    </xdr:from>
    <xdr:to>
      <xdr:col>40</xdr:col>
      <xdr:colOff>126207</xdr:colOff>
      <xdr:row>41</xdr:row>
      <xdr:rowOff>159543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40E6E18-40AC-47CF-8D60-C748C0A067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190500</xdr:colOff>
      <xdr:row>7</xdr:row>
      <xdr:rowOff>95250</xdr:rowOff>
    </xdr:from>
    <xdr:to>
      <xdr:col>45</xdr:col>
      <xdr:colOff>495300</xdr:colOff>
      <xdr:row>21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52211D1-15B4-48EF-89C3-43C7FA6233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387349</xdr:colOff>
      <xdr:row>19</xdr:row>
      <xdr:rowOff>111125</xdr:rowOff>
    </xdr:from>
    <xdr:to>
      <xdr:col>12</xdr:col>
      <xdr:colOff>100541</xdr:colOff>
      <xdr:row>23</xdr:row>
      <xdr:rowOff>149225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BD1C9A8E-F756-4B51-8A3D-0C7E61BE8B9A}"/>
            </a:ext>
          </a:extLst>
        </xdr:cNvPr>
        <xdr:cNvSpPr/>
      </xdr:nvSpPr>
      <xdr:spPr>
        <a:xfrm>
          <a:off x="6483349" y="3730625"/>
          <a:ext cx="932392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3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677334</xdr:colOff>
      <xdr:row>6</xdr:row>
      <xdr:rowOff>158750</xdr:rowOff>
    </xdr:from>
    <xdr:to>
      <xdr:col>3</xdr:col>
      <xdr:colOff>709084</xdr:colOff>
      <xdr:row>10</xdr:row>
      <xdr:rowOff>116417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FD996D79-F712-471E-BC1A-EC06D8EB8699}"/>
            </a:ext>
          </a:extLst>
        </xdr:cNvPr>
        <xdr:cNvSpPr/>
      </xdr:nvSpPr>
      <xdr:spPr>
        <a:xfrm>
          <a:off x="1829859" y="1301750"/>
          <a:ext cx="612775" cy="719667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4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601133</xdr:colOff>
      <xdr:row>35</xdr:row>
      <xdr:rowOff>88900</xdr:rowOff>
    </xdr:from>
    <xdr:to>
      <xdr:col>5</xdr:col>
      <xdr:colOff>695325</xdr:colOff>
      <xdr:row>39</xdr:row>
      <xdr:rowOff>127000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55217AC8-9FF1-4BE6-8210-852078FBA73A}"/>
            </a:ext>
          </a:extLst>
        </xdr:cNvPr>
        <xdr:cNvSpPr/>
      </xdr:nvSpPr>
      <xdr:spPr>
        <a:xfrm>
          <a:off x="3039533" y="6756400"/>
          <a:ext cx="618067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5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408516</xdr:colOff>
      <xdr:row>35</xdr:row>
      <xdr:rowOff>84666</xdr:rowOff>
    </xdr:from>
    <xdr:to>
      <xdr:col>12</xdr:col>
      <xdr:colOff>121708</xdr:colOff>
      <xdr:row>39</xdr:row>
      <xdr:rowOff>122766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E5962AD9-18F5-4C32-B09D-B3568BAF1A71}"/>
            </a:ext>
          </a:extLst>
        </xdr:cNvPr>
        <xdr:cNvSpPr/>
      </xdr:nvSpPr>
      <xdr:spPr>
        <a:xfrm>
          <a:off x="6504516" y="6752166"/>
          <a:ext cx="932392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6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555625</xdr:colOff>
      <xdr:row>35</xdr:row>
      <xdr:rowOff>87842</xdr:rowOff>
    </xdr:from>
    <xdr:to>
      <xdr:col>3</xdr:col>
      <xdr:colOff>698500</xdr:colOff>
      <xdr:row>39</xdr:row>
      <xdr:rowOff>125942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3DF84200-E4AF-4AA7-9A9C-F21E400EAB38}"/>
            </a:ext>
          </a:extLst>
        </xdr:cNvPr>
        <xdr:cNvSpPr/>
      </xdr:nvSpPr>
      <xdr:spPr>
        <a:xfrm>
          <a:off x="1774825" y="6755342"/>
          <a:ext cx="66675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7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211667</xdr:colOff>
      <xdr:row>25</xdr:row>
      <xdr:rowOff>27517</xdr:rowOff>
    </xdr:from>
    <xdr:to>
      <xdr:col>1</xdr:col>
      <xdr:colOff>275167</xdr:colOff>
      <xdr:row>29</xdr:row>
      <xdr:rowOff>21167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65D63AAA-C4A8-4272-8CFF-B9D91B905D99}"/>
            </a:ext>
          </a:extLst>
        </xdr:cNvPr>
        <xdr:cNvSpPr/>
      </xdr:nvSpPr>
      <xdr:spPr>
        <a:xfrm>
          <a:off x="211667" y="4790017"/>
          <a:ext cx="673100" cy="75565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8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615949</xdr:colOff>
      <xdr:row>25</xdr:row>
      <xdr:rowOff>9524</xdr:rowOff>
    </xdr:from>
    <xdr:to>
      <xdr:col>3</xdr:col>
      <xdr:colOff>758824</xdr:colOff>
      <xdr:row>29</xdr:row>
      <xdr:rowOff>47624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B3022B7B-1638-4918-92B7-4EC6C32E1B42}"/>
            </a:ext>
          </a:extLst>
        </xdr:cNvPr>
        <xdr:cNvSpPr/>
      </xdr:nvSpPr>
      <xdr:spPr>
        <a:xfrm>
          <a:off x="1825624" y="4772024"/>
          <a:ext cx="6096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8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211667</xdr:colOff>
      <xdr:row>4</xdr:row>
      <xdr:rowOff>158750</xdr:rowOff>
    </xdr:from>
    <xdr:to>
      <xdr:col>24</xdr:col>
      <xdr:colOff>440267</xdr:colOff>
      <xdr:row>9</xdr:row>
      <xdr:rowOff>6350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7A98C9D7-AEFE-4C3D-9168-767E4680CEF7}"/>
            </a:ext>
          </a:extLst>
        </xdr:cNvPr>
        <xdr:cNvSpPr/>
      </xdr:nvSpPr>
      <xdr:spPr>
        <a:xfrm>
          <a:off x="14232467" y="920750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268817</xdr:colOff>
      <xdr:row>34</xdr:row>
      <xdr:rowOff>6350</xdr:rowOff>
    </xdr:from>
    <xdr:to>
      <xdr:col>24</xdr:col>
      <xdr:colOff>497417</xdr:colOff>
      <xdr:row>38</xdr:row>
      <xdr:rowOff>44450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C0996532-FD52-402F-BBB9-2F9EC5275BBC}"/>
            </a:ext>
          </a:extLst>
        </xdr:cNvPr>
        <xdr:cNvSpPr/>
      </xdr:nvSpPr>
      <xdr:spPr>
        <a:xfrm>
          <a:off x="14289617" y="6483350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23</xdr:col>
      <xdr:colOff>240242</xdr:colOff>
      <xdr:row>19</xdr:row>
      <xdr:rowOff>149225</xdr:rowOff>
    </xdr:from>
    <xdr:to>
      <xdr:col>24</xdr:col>
      <xdr:colOff>468842</xdr:colOff>
      <xdr:row>23</xdr:row>
      <xdr:rowOff>187325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5D453588-462B-4C6E-93A1-AD37075F9177}"/>
            </a:ext>
          </a:extLst>
        </xdr:cNvPr>
        <xdr:cNvSpPr/>
      </xdr:nvSpPr>
      <xdr:spPr>
        <a:xfrm>
          <a:off x="14261042" y="3768725"/>
          <a:ext cx="838200" cy="800100"/>
        </a:xfrm>
        <a:prstGeom prst="ellipse">
          <a:avLst/>
        </a:prstGeom>
        <a:solidFill>
          <a:schemeClr val="bg2">
            <a:lumMod val="75000"/>
            <a:alpha val="30000"/>
          </a:schemeClr>
        </a:solidFill>
        <a:ln w="762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3200">
              <a:solidFill>
                <a:schemeClr val="tx1"/>
              </a:solidFill>
            </a:rPr>
            <a:t> 2</a:t>
          </a:r>
          <a:endParaRPr lang="en-GB" sz="1100">
            <a:solidFill>
              <a:schemeClr val="tx1"/>
            </a:solidFill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547688</xdr:colOff>
      <xdr:row>46</xdr:row>
      <xdr:rowOff>26194</xdr:rowOff>
    </xdr:from>
    <xdr:to>
      <xdr:col>13</xdr:col>
      <xdr:colOff>414338</xdr:colOff>
      <xdr:row>60</xdr:row>
      <xdr:rowOff>102394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6CAB3D-90DC-4C8E-9073-66329A38DE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11907</xdr:colOff>
      <xdr:row>45</xdr:row>
      <xdr:rowOff>178594</xdr:rowOff>
    </xdr:from>
    <xdr:to>
      <xdr:col>23</xdr:col>
      <xdr:colOff>450057</xdr:colOff>
      <xdr:row>60</xdr:row>
      <xdr:rowOff>64294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B448B73-462A-4517-A9CB-8A6B56D65D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0</xdr:colOff>
      <xdr:row>26</xdr:row>
      <xdr:rowOff>47625</xdr:rowOff>
    </xdr:from>
    <xdr:to>
      <xdr:col>40</xdr:col>
      <xdr:colOff>161925</xdr:colOff>
      <xdr:row>40</xdr:row>
      <xdr:rowOff>123825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7C5B399-BDD8-47C2-82C9-D76B236B5E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12</xdr:row>
      <xdr:rowOff>28575</xdr:rowOff>
    </xdr:from>
    <xdr:to>
      <xdr:col>5</xdr:col>
      <xdr:colOff>542925</xdr:colOff>
      <xdr:row>13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21BD4A-F142-405A-B5CE-0B8CB5DE2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2314575"/>
          <a:ext cx="1123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</xdr:colOff>
      <xdr:row>12</xdr:row>
      <xdr:rowOff>0</xdr:rowOff>
    </xdr:from>
    <xdr:to>
      <xdr:col>1</xdr:col>
      <xdr:colOff>542925</xdr:colOff>
      <xdr:row>13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2D9124-1117-48F4-AFB7-F0BF8CFAC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2286000"/>
          <a:ext cx="48577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409575</xdr:colOff>
      <xdr:row>4</xdr:row>
      <xdr:rowOff>9525</xdr:rowOff>
    </xdr:from>
    <xdr:to>
      <xdr:col>13</xdr:col>
      <xdr:colOff>409575</xdr:colOff>
      <xdr:row>5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EB7DD2E-B338-4D0D-8A2E-8C44FFABA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771525"/>
          <a:ext cx="12192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142875</xdr:colOff>
      <xdr:row>5</xdr:row>
      <xdr:rowOff>0</xdr:rowOff>
    </xdr:from>
    <xdr:to>
      <xdr:col>14</xdr:col>
      <xdr:colOff>57150</xdr:colOff>
      <xdr:row>6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F60176-5B5D-40BE-B55A-7196824CD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952500"/>
          <a:ext cx="113347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20</xdr:row>
      <xdr:rowOff>0</xdr:rowOff>
    </xdr:from>
    <xdr:to>
      <xdr:col>3</xdr:col>
      <xdr:colOff>533400</xdr:colOff>
      <xdr:row>20</xdr:row>
      <xdr:rowOff>180975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B1392B0-8F07-4FBD-BC7B-9B21B3F5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10000"/>
          <a:ext cx="533400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21</xdr:row>
      <xdr:rowOff>0</xdr:rowOff>
    </xdr:from>
    <xdr:to>
      <xdr:col>4</xdr:col>
      <xdr:colOff>0</xdr:colOff>
      <xdr:row>21</xdr:row>
      <xdr:rowOff>180975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B1CEEBE-5490-4CC6-8A70-F142DE98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00500"/>
          <a:ext cx="609600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22</xdr:row>
      <xdr:rowOff>0</xdr:rowOff>
    </xdr:from>
    <xdr:to>
      <xdr:col>4</xdr:col>
      <xdr:colOff>142875</xdr:colOff>
      <xdr:row>22</xdr:row>
      <xdr:rowOff>180975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BAD0933-53F3-429D-964F-FBB1B9B95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91000"/>
          <a:ext cx="75247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85725</xdr:colOff>
      <xdr:row>26</xdr:row>
      <xdr:rowOff>9525</xdr:rowOff>
    </xdr:from>
    <xdr:to>
      <xdr:col>7</xdr:col>
      <xdr:colOff>228600</xdr:colOff>
      <xdr:row>27</xdr:row>
      <xdr:rowOff>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E23FF5B-4424-40D4-B303-0133A0F8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4962525"/>
          <a:ext cx="75247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0</xdr:colOff>
      <xdr:row>20</xdr:row>
      <xdr:rowOff>0</xdr:rowOff>
    </xdr:from>
    <xdr:to>
      <xdr:col>16</xdr:col>
      <xdr:colOff>85725</xdr:colOff>
      <xdr:row>20</xdr:row>
      <xdr:rowOff>180975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331AF139-43CC-4116-B15A-DE4837E6F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3810000"/>
          <a:ext cx="69532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0</xdr:colOff>
      <xdr:row>21</xdr:row>
      <xdr:rowOff>0</xdr:rowOff>
    </xdr:from>
    <xdr:to>
      <xdr:col>16</xdr:col>
      <xdr:colOff>228600</xdr:colOff>
      <xdr:row>21</xdr:row>
      <xdr:rowOff>180975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D0F7557A-1885-4378-A13F-098544175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4000500"/>
          <a:ext cx="838200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18</xdr:col>
      <xdr:colOff>95250</xdr:colOff>
      <xdr:row>27</xdr:row>
      <xdr:rowOff>9525</xdr:rowOff>
    </xdr:from>
    <xdr:to>
      <xdr:col>19</xdr:col>
      <xdr:colOff>323850</xdr:colOff>
      <xdr:row>28</xdr:row>
      <xdr:rowOff>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4DFC4388-8DED-4A90-86A4-E46D46D4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68050" y="5153025"/>
          <a:ext cx="838200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247650</xdr:colOff>
      <xdr:row>33</xdr:row>
      <xdr:rowOff>9525</xdr:rowOff>
    </xdr:from>
    <xdr:to>
      <xdr:col>17</xdr:col>
      <xdr:colOff>152400</xdr:colOff>
      <xdr:row>34</xdr:row>
      <xdr:rowOff>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AD09FE1F-BE74-4D6C-A9DF-75B5AE331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1650" y="6296025"/>
          <a:ext cx="1123950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438150</xdr:colOff>
      <xdr:row>34</xdr:row>
      <xdr:rowOff>9525</xdr:rowOff>
    </xdr:from>
    <xdr:to>
      <xdr:col>16</xdr:col>
      <xdr:colOff>447675</xdr:colOff>
      <xdr:row>35</xdr:row>
      <xdr:rowOff>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31AF5C54-6D94-473F-9F38-034F1533E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2150" y="6486525"/>
          <a:ext cx="61912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243418</xdr:colOff>
      <xdr:row>16</xdr:row>
      <xdr:rowOff>31749</xdr:rowOff>
    </xdr:from>
    <xdr:to>
      <xdr:col>2</xdr:col>
      <xdr:colOff>74084</xdr:colOff>
      <xdr:row>18</xdr:row>
      <xdr:rowOff>105832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7F42455B-3E83-4A6B-A962-C7931A3458A8}"/>
            </a:ext>
          </a:extLst>
        </xdr:cNvPr>
        <xdr:cNvSpPr/>
      </xdr:nvSpPr>
      <xdr:spPr>
        <a:xfrm>
          <a:off x="853018" y="3079749"/>
          <a:ext cx="440266" cy="455083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600" b="1"/>
            <a:t>1</a:t>
          </a:r>
          <a:endParaRPr lang="en-GB" sz="1100" b="1"/>
        </a:p>
      </xdr:txBody>
    </xdr:sp>
    <xdr:clientData/>
  </xdr:twoCellAnchor>
  <xdr:twoCellAnchor>
    <xdr:from>
      <xdr:col>11</xdr:col>
      <xdr:colOff>406401</xdr:colOff>
      <xdr:row>11</xdr:row>
      <xdr:rowOff>88899</xdr:rowOff>
    </xdr:from>
    <xdr:to>
      <xdr:col>12</xdr:col>
      <xdr:colOff>237068</xdr:colOff>
      <xdr:row>13</xdr:row>
      <xdr:rowOff>162982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E83724B1-B0CE-4495-AB80-28D55B0A42D1}"/>
            </a:ext>
          </a:extLst>
        </xdr:cNvPr>
        <xdr:cNvSpPr/>
      </xdr:nvSpPr>
      <xdr:spPr>
        <a:xfrm>
          <a:off x="7112001" y="2184399"/>
          <a:ext cx="440267" cy="455083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600" b="1"/>
            <a:t>2</a:t>
          </a:r>
          <a:endParaRPr lang="en-GB" sz="1100" b="1"/>
        </a:p>
      </xdr:txBody>
    </xdr:sp>
    <xdr:clientData/>
  </xdr:twoCellAnchor>
  <xdr:twoCellAnchor>
    <xdr:from>
      <xdr:col>15</xdr:col>
      <xdr:colOff>50801</xdr:colOff>
      <xdr:row>24</xdr:row>
      <xdr:rowOff>167215</xdr:rowOff>
    </xdr:from>
    <xdr:to>
      <xdr:col>15</xdr:col>
      <xdr:colOff>495301</xdr:colOff>
      <xdr:row>27</xdr:row>
      <xdr:rowOff>50798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4661E0FB-3838-42EF-8C34-95439427D8E6}"/>
            </a:ext>
          </a:extLst>
        </xdr:cNvPr>
        <xdr:cNvSpPr/>
      </xdr:nvSpPr>
      <xdr:spPr>
        <a:xfrm>
          <a:off x="9194801" y="4739215"/>
          <a:ext cx="444500" cy="455083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600" b="1"/>
            <a:t>4</a:t>
          </a:r>
          <a:endParaRPr lang="en-GB" sz="1100" b="1"/>
        </a:p>
      </xdr:txBody>
    </xdr:sp>
    <xdr:clientData/>
  </xdr:twoCellAnchor>
  <xdr:twoCellAnchor>
    <xdr:from>
      <xdr:col>15</xdr:col>
      <xdr:colOff>298450</xdr:colOff>
      <xdr:row>14</xdr:row>
      <xdr:rowOff>182032</xdr:rowOff>
    </xdr:from>
    <xdr:to>
      <xdr:col>16</xdr:col>
      <xdr:colOff>129117</xdr:colOff>
      <xdr:row>17</xdr:row>
      <xdr:rowOff>65615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BB1704D8-0A35-4E18-9D76-A96DC4A6DE20}"/>
            </a:ext>
          </a:extLst>
        </xdr:cNvPr>
        <xdr:cNvSpPr/>
      </xdr:nvSpPr>
      <xdr:spPr>
        <a:xfrm>
          <a:off x="9442450" y="2849032"/>
          <a:ext cx="440267" cy="455083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600" b="1"/>
            <a:t>3</a:t>
          </a:r>
          <a:endParaRPr lang="en-GB" sz="1100" b="1"/>
        </a:p>
      </xdr:txBody>
    </xdr:sp>
    <xdr:clientData/>
  </xdr:twoCellAnchor>
  <xdr:twoCellAnchor>
    <xdr:from>
      <xdr:col>18</xdr:col>
      <xdr:colOff>69850</xdr:colOff>
      <xdr:row>25</xdr:row>
      <xdr:rowOff>69849</xdr:rowOff>
    </xdr:from>
    <xdr:to>
      <xdr:col>18</xdr:col>
      <xdr:colOff>514350</xdr:colOff>
      <xdr:row>27</xdr:row>
      <xdr:rowOff>143932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F3073884-C103-45DE-8450-2E13169018CC}"/>
            </a:ext>
          </a:extLst>
        </xdr:cNvPr>
        <xdr:cNvSpPr/>
      </xdr:nvSpPr>
      <xdr:spPr>
        <a:xfrm>
          <a:off x="11042650" y="4832349"/>
          <a:ext cx="444500" cy="455083"/>
        </a:xfrm>
        <a:prstGeom prst="ellipse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600" b="1"/>
            <a:t>5</a:t>
          </a:r>
          <a:endParaRPr lang="en-GB" sz="1100" b="1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238125</xdr:colOff>
      <xdr:row>0</xdr:row>
      <xdr:rowOff>180975</xdr:rowOff>
    </xdr:from>
    <xdr:to>
      <xdr:col>22</xdr:col>
      <xdr:colOff>238125</xdr:colOff>
      <xdr:row>10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BF6FC4-6D8A-4FA7-8601-EE3C792BA9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238125</xdr:colOff>
      <xdr:row>2</xdr:row>
      <xdr:rowOff>180975</xdr:rowOff>
    </xdr:from>
    <xdr:to>
      <xdr:col>23</xdr:col>
      <xdr:colOff>238125</xdr:colOff>
      <xdr:row>12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4F6C2C1-2616-496E-9F4E-C5B6FAFD66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238125</xdr:colOff>
      <xdr:row>4</xdr:row>
      <xdr:rowOff>180975</xdr:rowOff>
    </xdr:from>
    <xdr:to>
      <xdr:col>24</xdr:col>
      <xdr:colOff>238125</xdr:colOff>
      <xdr:row>14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D177B6E-88DF-47A2-A81A-ACAF61CA00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238125</xdr:colOff>
      <xdr:row>6</xdr:row>
      <xdr:rowOff>180975</xdr:rowOff>
    </xdr:from>
    <xdr:to>
      <xdr:col>25</xdr:col>
      <xdr:colOff>238125</xdr:colOff>
      <xdr:row>16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789136E-97B2-47D0-98CD-0D8FD58A4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238125</xdr:colOff>
      <xdr:row>8</xdr:row>
      <xdr:rowOff>180975</xdr:rowOff>
    </xdr:from>
    <xdr:to>
      <xdr:col>26</xdr:col>
      <xdr:colOff>238125</xdr:colOff>
      <xdr:row>18</xdr:row>
      <xdr:rowOff>180975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3D08F57-7985-4F98-9D34-8F57CF5C79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238125</xdr:colOff>
      <xdr:row>10</xdr:row>
      <xdr:rowOff>180975</xdr:rowOff>
    </xdr:from>
    <xdr:to>
      <xdr:col>27</xdr:col>
      <xdr:colOff>238125</xdr:colOff>
      <xdr:row>20</xdr:row>
      <xdr:rowOff>180975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B4F942-E93E-4AE0-8D34-33D42E6C16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238125</xdr:colOff>
      <xdr:row>12</xdr:row>
      <xdr:rowOff>180975</xdr:rowOff>
    </xdr:from>
    <xdr:to>
      <xdr:col>28</xdr:col>
      <xdr:colOff>238125</xdr:colOff>
      <xdr:row>22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8755FEB-BF47-4861-B040-144B9503C7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238125</xdr:colOff>
      <xdr:row>14</xdr:row>
      <xdr:rowOff>180975</xdr:rowOff>
    </xdr:from>
    <xdr:to>
      <xdr:col>29</xdr:col>
      <xdr:colOff>238125</xdr:colOff>
      <xdr:row>24</xdr:row>
      <xdr:rowOff>180975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4F41E5A-F358-40E4-B279-C8DBBDDCE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790575</xdr:colOff>
      <xdr:row>16</xdr:row>
      <xdr:rowOff>28575</xdr:rowOff>
    </xdr:from>
    <xdr:ext cx="933781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C7DB51F-49AA-433C-9D29-A077E5ADDA79}"/>
                </a:ext>
              </a:extLst>
            </xdr:cNvPr>
            <xdr:cNvSpPr txBox="1"/>
          </xdr:nvSpPr>
          <xdr:spPr>
            <a:xfrm>
              <a:off x="4876800" y="3076575"/>
              <a:ext cx="93378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GB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acc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𝛽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𝛽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C7DB51F-49AA-433C-9D29-A077E5ADDA79}"/>
                </a:ext>
              </a:extLst>
            </xdr:cNvPr>
            <xdr:cNvSpPr txBox="1"/>
          </xdr:nvSpPr>
          <xdr:spPr>
            <a:xfrm>
              <a:off x="4876800" y="3076575"/>
              <a:ext cx="933781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𝑥 ̂_2=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𝛽_</a:t>
              </a:r>
              <a:r>
                <a:rPr lang="en-GB" sz="1100" b="0" i="0">
                  <a:latin typeface="Cambria Math" panose="02040503050406030204" pitchFamily="18" charset="0"/>
                </a:rPr>
                <a:t>0+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𝛽_</a:t>
              </a:r>
              <a:r>
                <a:rPr lang="en-GB" sz="1100" b="0" i="0">
                  <a:latin typeface="Cambria Math" panose="02040503050406030204" pitchFamily="18" charset="0"/>
                </a:rPr>
                <a:t>1 𝑥_1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3</xdr:col>
      <xdr:colOff>152400</xdr:colOff>
      <xdr:row>2</xdr:row>
      <xdr:rowOff>180975</xdr:rowOff>
    </xdr:from>
    <xdr:to>
      <xdr:col>4</xdr:col>
      <xdr:colOff>28575</xdr:colOff>
      <xdr:row>4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56FFE393-9674-412A-932C-8DC571F54119}"/>
            </a:ext>
          </a:extLst>
        </xdr:cNvPr>
        <xdr:cNvSpPr/>
      </xdr:nvSpPr>
      <xdr:spPr>
        <a:xfrm>
          <a:off x="1981200" y="561975"/>
          <a:ext cx="485775" cy="342900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</a:t>
          </a:r>
        </a:p>
      </xdr:txBody>
    </xdr:sp>
    <xdr:clientData/>
  </xdr:twoCellAnchor>
  <xdr:twoCellAnchor>
    <xdr:from>
      <xdr:col>14</xdr:col>
      <xdr:colOff>142875</xdr:colOff>
      <xdr:row>2</xdr:row>
      <xdr:rowOff>9525</xdr:rowOff>
    </xdr:from>
    <xdr:to>
      <xdr:col>15</xdr:col>
      <xdr:colOff>19050</xdr:colOff>
      <xdr:row>3</xdr:row>
      <xdr:rowOff>200025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20721F29-4D6A-4B1F-9208-F67A3496F3E5}"/>
            </a:ext>
          </a:extLst>
        </xdr:cNvPr>
        <xdr:cNvSpPr/>
      </xdr:nvSpPr>
      <xdr:spPr>
        <a:xfrm>
          <a:off x="8677275" y="390525"/>
          <a:ext cx="485775" cy="371475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4</a:t>
          </a:r>
        </a:p>
      </xdr:txBody>
    </xdr:sp>
    <xdr:clientData/>
  </xdr:twoCellAnchor>
  <xdr:twoCellAnchor>
    <xdr:from>
      <xdr:col>3</xdr:col>
      <xdr:colOff>133350</xdr:colOff>
      <xdr:row>18</xdr:row>
      <xdr:rowOff>47625</xdr:rowOff>
    </xdr:from>
    <xdr:to>
      <xdr:col>4</xdr:col>
      <xdr:colOff>9525</xdr:colOff>
      <xdr:row>20</xdr:row>
      <xdr:rowOff>47625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DDFC3569-7F6D-4D65-89C5-7C46C24A87F7}"/>
            </a:ext>
          </a:extLst>
        </xdr:cNvPr>
        <xdr:cNvSpPr/>
      </xdr:nvSpPr>
      <xdr:spPr>
        <a:xfrm>
          <a:off x="1962150" y="3476625"/>
          <a:ext cx="485775" cy="381000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3</a:t>
          </a:r>
        </a:p>
      </xdr:txBody>
    </xdr:sp>
    <xdr:clientData/>
  </xdr:twoCellAnchor>
  <xdr:twoCellAnchor>
    <xdr:from>
      <xdr:col>3</xdr:col>
      <xdr:colOff>104775</xdr:colOff>
      <xdr:row>10</xdr:row>
      <xdr:rowOff>171450</xdr:rowOff>
    </xdr:from>
    <xdr:to>
      <xdr:col>3</xdr:col>
      <xdr:colOff>590550</xdr:colOff>
      <xdr:row>12</xdr:row>
      <xdr:rowOff>171450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6EDAF906-08B2-4965-BAFE-450EAA76790B}"/>
            </a:ext>
          </a:extLst>
        </xdr:cNvPr>
        <xdr:cNvSpPr/>
      </xdr:nvSpPr>
      <xdr:spPr>
        <a:xfrm>
          <a:off x="1933575" y="2076450"/>
          <a:ext cx="485775" cy="381000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2</a:t>
          </a:r>
        </a:p>
      </xdr:txBody>
    </xdr:sp>
    <xdr:clientData/>
  </xdr:twoCellAnchor>
  <xdr:twoCellAnchor>
    <xdr:from>
      <xdr:col>19</xdr:col>
      <xdr:colOff>85725</xdr:colOff>
      <xdr:row>9</xdr:row>
      <xdr:rowOff>190500</xdr:rowOff>
    </xdr:from>
    <xdr:to>
      <xdr:col>19</xdr:col>
      <xdr:colOff>571500</xdr:colOff>
      <xdr:row>11</xdr:row>
      <xdr:rowOff>152400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1FB6CF05-CFF8-4575-B9AB-1979A5E773CE}"/>
            </a:ext>
          </a:extLst>
        </xdr:cNvPr>
        <xdr:cNvSpPr/>
      </xdr:nvSpPr>
      <xdr:spPr>
        <a:xfrm>
          <a:off x="11668125" y="1905000"/>
          <a:ext cx="485775" cy="342900"/>
        </a:xfrm>
        <a:prstGeom prst="ellipse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5</a:t>
          </a:r>
        </a:p>
      </xdr:txBody>
    </xdr:sp>
    <xdr:clientData/>
  </xdr:twoCellAnchor>
  <xdr:oneCellAnchor>
    <xdr:from>
      <xdr:col>23</xdr:col>
      <xdr:colOff>495300</xdr:colOff>
      <xdr:row>0</xdr:row>
      <xdr:rowOff>161925</xdr:rowOff>
    </xdr:from>
    <xdr:ext cx="6754168" cy="5601482"/>
    <xdr:pic>
      <xdr:nvPicPr>
        <xdr:cNvPr id="8" name="Picture 7">
          <a:extLst>
            <a:ext uri="{FF2B5EF4-FFF2-40B4-BE49-F238E27FC236}">
              <a16:creationId xmlns:a16="http://schemas.microsoft.com/office/drawing/2014/main" id="{A43FDEA0-0AEB-4DF2-846D-3A8193320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516100" y="161925"/>
          <a:ext cx="6754168" cy="560148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9</xdr:row>
      <xdr:rowOff>9524</xdr:rowOff>
    </xdr:from>
    <xdr:to>
      <xdr:col>3</xdr:col>
      <xdr:colOff>219074</xdr:colOff>
      <xdr:row>10</xdr:row>
      <xdr:rowOff>171449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59437275-58FE-4242-B2DC-94C6512030C4}"/>
            </a:ext>
          </a:extLst>
        </xdr:cNvPr>
        <xdr:cNvSpPr/>
      </xdr:nvSpPr>
      <xdr:spPr>
        <a:xfrm>
          <a:off x="1676399" y="1724024"/>
          <a:ext cx="371475" cy="35242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</a:t>
          </a:r>
          <a:endParaRPr lang="en-GB" sz="1100"/>
        </a:p>
      </xdr:txBody>
    </xdr:sp>
    <xdr:clientData/>
  </xdr:twoCellAnchor>
  <xdr:twoCellAnchor>
    <xdr:from>
      <xdr:col>3</xdr:col>
      <xdr:colOff>66674</xdr:colOff>
      <xdr:row>17</xdr:row>
      <xdr:rowOff>171449</xdr:rowOff>
    </xdr:from>
    <xdr:to>
      <xdr:col>3</xdr:col>
      <xdr:colOff>438149</xdr:colOff>
      <xdr:row>19</xdr:row>
      <xdr:rowOff>142874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66C50CC-3F8F-4632-A762-F0C423DEB70E}"/>
            </a:ext>
          </a:extLst>
        </xdr:cNvPr>
        <xdr:cNvSpPr/>
      </xdr:nvSpPr>
      <xdr:spPr>
        <a:xfrm>
          <a:off x="1895474" y="3409949"/>
          <a:ext cx="371475" cy="35242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</a:t>
          </a:r>
          <a:endParaRPr lang="en-GB" sz="1100"/>
        </a:p>
      </xdr:txBody>
    </xdr:sp>
    <xdr:clientData/>
  </xdr:twoCellAnchor>
  <xdr:twoCellAnchor>
    <xdr:from>
      <xdr:col>2</xdr:col>
      <xdr:colOff>504825</xdr:colOff>
      <xdr:row>28</xdr:row>
      <xdr:rowOff>38100</xdr:rowOff>
    </xdr:from>
    <xdr:to>
      <xdr:col>3</xdr:col>
      <xdr:colOff>266700</xdr:colOff>
      <xdr:row>29</xdr:row>
      <xdr:rowOff>180975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E079B138-C47F-4B6F-9D55-8F656055D734}"/>
            </a:ext>
          </a:extLst>
        </xdr:cNvPr>
        <xdr:cNvSpPr/>
      </xdr:nvSpPr>
      <xdr:spPr>
        <a:xfrm>
          <a:off x="1724025" y="5372100"/>
          <a:ext cx="371475" cy="33337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3</a:t>
          </a:r>
          <a:endParaRPr lang="en-GB" sz="1100"/>
        </a:p>
      </xdr:txBody>
    </xdr:sp>
    <xdr:clientData/>
  </xdr:twoCellAnchor>
  <xdr:twoCellAnchor>
    <xdr:from>
      <xdr:col>8</xdr:col>
      <xdr:colOff>209550</xdr:colOff>
      <xdr:row>0</xdr:row>
      <xdr:rowOff>28575</xdr:rowOff>
    </xdr:from>
    <xdr:to>
      <xdr:col>8</xdr:col>
      <xdr:colOff>581025</xdr:colOff>
      <xdr:row>1</xdr:row>
      <xdr:rowOff>190500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EF31EDD1-EAAE-4C44-97E1-C53CA0F2B1D0}"/>
            </a:ext>
          </a:extLst>
        </xdr:cNvPr>
        <xdr:cNvSpPr/>
      </xdr:nvSpPr>
      <xdr:spPr>
        <a:xfrm>
          <a:off x="5086350" y="28575"/>
          <a:ext cx="371475" cy="35242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4</a:t>
          </a:r>
          <a:endParaRPr lang="en-GB" sz="1100"/>
        </a:p>
      </xdr:txBody>
    </xdr:sp>
    <xdr:clientData/>
  </xdr:twoCellAnchor>
  <xdr:twoCellAnchor>
    <xdr:from>
      <xdr:col>9</xdr:col>
      <xdr:colOff>438150</xdr:colOff>
      <xdr:row>10</xdr:row>
      <xdr:rowOff>133350</xdr:rowOff>
    </xdr:from>
    <xdr:to>
      <xdr:col>9</xdr:col>
      <xdr:colOff>809625</xdr:colOff>
      <xdr:row>12</xdr:row>
      <xdr:rowOff>104775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51448992-BC7F-4779-930D-7616D509E8B5}"/>
            </a:ext>
          </a:extLst>
        </xdr:cNvPr>
        <xdr:cNvSpPr/>
      </xdr:nvSpPr>
      <xdr:spPr>
        <a:xfrm>
          <a:off x="5924550" y="2038350"/>
          <a:ext cx="171450" cy="35242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5</a:t>
          </a:r>
          <a:endParaRPr lang="en-GB" sz="1100"/>
        </a:p>
      </xdr:txBody>
    </xdr:sp>
    <xdr:clientData/>
  </xdr:twoCellAnchor>
  <xdr:twoCellAnchor>
    <xdr:from>
      <xdr:col>9</xdr:col>
      <xdr:colOff>133350</xdr:colOff>
      <xdr:row>18</xdr:row>
      <xdr:rowOff>85725</xdr:rowOff>
    </xdr:from>
    <xdr:to>
      <xdr:col>9</xdr:col>
      <xdr:colOff>504825</xdr:colOff>
      <xdr:row>20</xdr:row>
      <xdr:rowOff>57150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A1BC6AF1-3FD9-4100-B936-FB2E3360D630}"/>
            </a:ext>
          </a:extLst>
        </xdr:cNvPr>
        <xdr:cNvSpPr/>
      </xdr:nvSpPr>
      <xdr:spPr>
        <a:xfrm>
          <a:off x="5619750" y="3514725"/>
          <a:ext cx="371475" cy="35242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6</a:t>
          </a:r>
          <a:endParaRPr lang="en-GB" sz="1100"/>
        </a:p>
      </xdr:txBody>
    </xdr:sp>
    <xdr:clientData/>
  </xdr:twoCellAnchor>
  <xdr:twoCellAnchor>
    <xdr:from>
      <xdr:col>10</xdr:col>
      <xdr:colOff>38100</xdr:colOff>
      <xdr:row>0</xdr:row>
      <xdr:rowOff>57150</xdr:rowOff>
    </xdr:from>
    <xdr:to>
      <xdr:col>13</xdr:col>
      <xdr:colOff>504825</xdr:colOff>
      <xdr:row>7</xdr:row>
      <xdr:rowOff>219075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6AEE1CA-8D59-4B1F-A5F0-1B5564749F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14</xdr:col>
      <xdr:colOff>552450</xdr:colOff>
      <xdr:row>14</xdr:row>
      <xdr:rowOff>19050</xdr:rowOff>
    </xdr:from>
    <xdr:ext cx="1396151" cy="18222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6D499399-57E4-458A-B865-2C622F5FA84E}"/>
                </a:ext>
              </a:extLst>
            </xdr:cNvPr>
            <xdr:cNvSpPr txBox="1"/>
          </xdr:nvSpPr>
          <xdr:spPr>
            <a:xfrm>
              <a:off x="9086850" y="2686050"/>
              <a:ext cx="1396151" cy="1822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e>
                    </m:acc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</m:acc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𝑊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𝑊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6D499399-57E4-458A-B865-2C622F5FA84E}"/>
                </a:ext>
              </a:extLst>
            </xdr:cNvPr>
            <xdr:cNvSpPr txBox="1"/>
          </xdr:nvSpPr>
          <xdr:spPr>
            <a:xfrm>
              <a:off x="9086850" y="2686050"/>
              <a:ext cx="1396151" cy="1822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𝐹 ̂=(𝑋−𝑋 ̅ )𝑊=𝑋_𝐶 𝑊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17</xdr:col>
      <xdr:colOff>428626</xdr:colOff>
      <xdr:row>0</xdr:row>
      <xdr:rowOff>133350</xdr:rowOff>
    </xdr:from>
    <xdr:to>
      <xdr:col>17</xdr:col>
      <xdr:colOff>771526</xdr:colOff>
      <xdr:row>2</xdr:row>
      <xdr:rowOff>85725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DECD7A52-B3E7-46A4-9BD3-C05C35641E8A}"/>
            </a:ext>
          </a:extLst>
        </xdr:cNvPr>
        <xdr:cNvSpPr/>
      </xdr:nvSpPr>
      <xdr:spPr>
        <a:xfrm>
          <a:off x="10791826" y="133350"/>
          <a:ext cx="180975" cy="33337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7</a:t>
          </a:r>
          <a:endParaRPr lang="en-GB" sz="1100"/>
        </a:p>
      </xdr:txBody>
    </xdr:sp>
    <xdr:clientData/>
  </xdr:twoCellAnchor>
  <xdr:twoCellAnchor>
    <xdr:from>
      <xdr:col>17</xdr:col>
      <xdr:colOff>127635</xdr:colOff>
      <xdr:row>23</xdr:row>
      <xdr:rowOff>55245</xdr:rowOff>
    </xdr:from>
    <xdr:to>
      <xdr:col>17</xdr:col>
      <xdr:colOff>499110</xdr:colOff>
      <xdr:row>24</xdr:row>
      <xdr:rowOff>175260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AF43D4C5-8CC7-4032-AA66-E3176E8F9336}"/>
            </a:ext>
          </a:extLst>
        </xdr:cNvPr>
        <xdr:cNvSpPr/>
      </xdr:nvSpPr>
      <xdr:spPr>
        <a:xfrm>
          <a:off x="10864215" y="4322445"/>
          <a:ext cx="371475" cy="32575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8</a:t>
          </a:r>
          <a:endParaRPr lang="en-GB" sz="1100"/>
        </a:p>
      </xdr:txBody>
    </xdr:sp>
    <xdr:clientData/>
  </xdr:twoCellAnchor>
  <xdr:twoCellAnchor>
    <xdr:from>
      <xdr:col>24</xdr:col>
      <xdr:colOff>100965</xdr:colOff>
      <xdr:row>23</xdr:row>
      <xdr:rowOff>89535</xdr:rowOff>
    </xdr:from>
    <xdr:to>
      <xdr:col>24</xdr:col>
      <xdr:colOff>472440</xdr:colOff>
      <xdr:row>25</xdr:row>
      <xdr:rowOff>49530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5C7CFFE7-3126-4BBE-942F-622519E4D8EA}"/>
            </a:ext>
          </a:extLst>
        </xdr:cNvPr>
        <xdr:cNvSpPr/>
      </xdr:nvSpPr>
      <xdr:spPr>
        <a:xfrm>
          <a:off x="15119985" y="4356735"/>
          <a:ext cx="371475" cy="34861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9</a:t>
          </a:r>
          <a:endParaRPr lang="en-GB" sz="1100"/>
        </a:p>
      </xdr:txBody>
    </xdr:sp>
    <xdr:clientData/>
  </xdr:twoCellAnchor>
  <xdr:twoCellAnchor>
    <xdr:from>
      <xdr:col>17</xdr:col>
      <xdr:colOff>291465</xdr:colOff>
      <xdr:row>34</xdr:row>
      <xdr:rowOff>144780</xdr:rowOff>
    </xdr:from>
    <xdr:to>
      <xdr:col>17</xdr:col>
      <xdr:colOff>769620</xdr:colOff>
      <xdr:row>37</xdr:row>
      <xdr:rowOff>38100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64B8C64F-96E8-4C0D-B8F9-D842877687A9}"/>
            </a:ext>
          </a:extLst>
        </xdr:cNvPr>
        <xdr:cNvSpPr/>
      </xdr:nvSpPr>
      <xdr:spPr>
        <a:xfrm>
          <a:off x="11028045" y="6461760"/>
          <a:ext cx="478155" cy="441960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11</a:t>
          </a:r>
          <a:endParaRPr lang="en-GB" sz="1100"/>
        </a:p>
      </xdr:txBody>
    </xdr:sp>
    <xdr:clientData/>
  </xdr:twoCellAnchor>
  <xdr:twoCellAnchor>
    <xdr:from>
      <xdr:col>32</xdr:col>
      <xdr:colOff>386715</xdr:colOff>
      <xdr:row>23</xdr:row>
      <xdr:rowOff>167640</xdr:rowOff>
    </xdr:from>
    <xdr:to>
      <xdr:col>33</xdr:col>
      <xdr:colOff>243840</xdr:colOff>
      <xdr:row>25</xdr:row>
      <xdr:rowOff>158115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E5BC0D4F-52FB-4B45-A8DE-DE93BEB0F52B}"/>
            </a:ext>
          </a:extLst>
        </xdr:cNvPr>
        <xdr:cNvSpPr/>
      </xdr:nvSpPr>
      <xdr:spPr>
        <a:xfrm>
          <a:off x="19878675" y="4434840"/>
          <a:ext cx="466725" cy="37909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10</a:t>
          </a:r>
          <a:endParaRPr lang="en-GB" sz="1100"/>
        </a:p>
      </xdr:txBody>
    </xdr:sp>
    <xdr:clientData/>
  </xdr:twoCellAnchor>
  <xdr:twoCellAnchor>
    <xdr:from>
      <xdr:col>22</xdr:col>
      <xdr:colOff>123825</xdr:colOff>
      <xdr:row>35</xdr:row>
      <xdr:rowOff>28575</xdr:rowOff>
    </xdr:from>
    <xdr:to>
      <xdr:col>22</xdr:col>
      <xdr:colOff>600075</xdr:colOff>
      <xdr:row>37</xdr:row>
      <xdr:rowOff>38100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D3794BC1-1202-48A0-BA57-C41F22484B33}"/>
            </a:ext>
          </a:extLst>
        </xdr:cNvPr>
        <xdr:cNvSpPr/>
      </xdr:nvSpPr>
      <xdr:spPr>
        <a:xfrm>
          <a:off x="13535025" y="6696075"/>
          <a:ext cx="476250" cy="390525"/>
        </a:xfrm>
        <a:prstGeom prst="ellipse">
          <a:avLst/>
        </a:prstGeom>
        <a:solidFill>
          <a:srgbClr val="FFC000">
            <a:alpha val="45000"/>
          </a:srgb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12</a:t>
          </a:r>
          <a:endParaRPr lang="en-GB" sz="1100"/>
        </a:p>
      </xdr:txBody>
    </xdr:sp>
    <xdr:clientData/>
  </xdr:twoCellAnchor>
  <xdr:oneCellAnchor>
    <xdr:from>
      <xdr:col>35</xdr:col>
      <xdr:colOff>571500</xdr:colOff>
      <xdr:row>3</xdr:row>
      <xdr:rowOff>66675</xdr:rowOff>
    </xdr:from>
    <xdr:ext cx="3514725" cy="2722880"/>
    <xdr:pic>
      <xdr:nvPicPr>
        <xdr:cNvPr id="16" name="Picture 15">
          <a:extLst>
            <a:ext uri="{FF2B5EF4-FFF2-40B4-BE49-F238E27FC236}">
              <a16:creationId xmlns:a16="http://schemas.microsoft.com/office/drawing/2014/main" id="{965F4E7E-4DB8-4DA3-905F-8E47A0952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07500" y="638175"/>
          <a:ext cx="3514725" cy="272288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</xdr:colOff>
      <xdr:row>0</xdr:row>
      <xdr:rowOff>142875</xdr:rowOff>
    </xdr:from>
    <xdr:to>
      <xdr:col>19</xdr:col>
      <xdr:colOff>361950</xdr:colOff>
      <xdr:row>15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51B744-9851-4798-8B96-99E28BB783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95250</xdr:colOff>
      <xdr:row>7</xdr:row>
      <xdr:rowOff>152400</xdr:rowOff>
    </xdr:from>
    <xdr:ext cx="1764457" cy="21012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E69CC09-CF9C-460B-8D5F-9FE36884402A}"/>
                </a:ext>
              </a:extLst>
            </xdr:cNvPr>
            <xdr:cNvSpPr txBox="1"/>
          </xdr:nvSpPr>
          <xdr:spPr>
            <a:xfrm>
              <a:off x="5581650" y="1485900"/>
              <a:ext cx="1764457" cy="210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𝜇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)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Σ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−1</m:t>
                            </m:r>
                          </m:sup>
                        </m:sSup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𝜇</m:t>
                        </m:r>
                        <m:r>
                          <m:rPr>
                            <m:nor/>
                          </m:rPr>
                          <a:rPr lang="en-GB" sz="11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)</m:t>
                        </m:r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E69CC09-CF9C-460B-8D5F-9FE36884402A}"/>
                </a:ext>
              </a:extLst>
            </xdr:cNvPr>
            <xdr:cNvSpPr txBox="1"/>
          </xdr:nvSpPr>
          <xdr:spPr>
            <a:xfrm>
              <a:off x="5581650" y="1485900"/>
              <a:ext cx="1764457" cy="210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𝐷_𝑀=√((𝑥−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𝜇)^𝑇)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Σ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^(−1)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(𝑥−𝜇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95250</xdr:colOff>
      <xdr:row>21</xdr:row>
      <xdr:rowOff>152400</xdr:rowOff>
    </xdr:from>
    <xdr:ext cx="1764457" cy="21012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9C2BDF5-6DFA-400B-8468-5B25D9F22201}"/>
                </a:ext>
              </a:extLst>
            </xdr:cNvPr>
            <xdr:cNvSpPr txBox="1"/>
          </xdr:nvSpPr>
          <xdr:spPr>
            <a:xfrm>
              <a:off x="5581650" y="4152900"/>
              <a:ext cx="1764457" cy="210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𝑀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𝜇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)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m:rPr>
                                <m:sty m:val="p"/>
                              </m:rPr>
                              <a:rPr lang="el-GR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Σ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−1</m:t>
                            </m:r>
                          </m:sup>
                        </m:sSup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𝜇</m:t>
                        </m:r>
                        <m:r>
                          <m:rPr>
                            <m:nor/>
                          </m:rPr>
                          <a:rPr lang="en-GB" sz="11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)</m:t>
                        </m:r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9C2BDF5-6DFA-400B-8468-5B25D9F22201}"/>
                </a:ext>
              </a:extLst>
            </xdr:cNvPr>
            <xdr:cNvSpPr txBox="1"/>
          </xdr:nvSpPr>
          <xdr:spPr>
            <a:xfrm>
              <a:off x="5581650" y="4152900"/>
              <a:ext cx="1764457" cy="210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𝐷_𝑀=√((𝑥−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𝜇)^𝑇)</a:t>
              </a: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Σ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^(−1)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 (𝑥−𝜇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"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4</xdr:col>
      <xdr:colOff>76200</xdr:colOff>
      <xdr:row>11</xdr:row>
      <xdr:rowOff>0</xdr:rowOff>
    </xdr:from>
    <xdr:to>
      <xdr:col>5</xdr:col>
      <xdr:colOff>152400</xdr:colOff>
      <xdr:row>12</xdr:row>
      <xdr:rowOff>123825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4BAE0B2C-7B4B-4F5E-B480-53833D5CE4EB}"/>
            </a:ext>
          </a:extLst>
        </xdr:cNvPr>
        <xdr:cNvSpPr/>
      </xdr:nvSpPr>
      <xdr:spPr>
        <a:xfrm>
          <a:off x="2514600" y="2095500"/>
          <a:ext cx="685800" cy="314325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5</xdr:col>
      <xdr:colOff>514350</xdr:colOff>
      <xdr:row>0</xdr:row>
      <xdr:rowOff>66675</xdr:rowOff>
    </xdr:from>
    <xdr:to>
      <xdr:col>6</xdr:col>
      <xdr:colOff>314325</xdr:colOff>
      <xdr:row>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A5CDBF7F-A023-4187-AB7C-C4A9D1071CFA}"/>
            </a:ext>
          </a:extLst>
        </xdr:cNvPr>
        <xdr:cNvSpPr/>
      </xdr:nvSpPr>
      <xdr:spPr>
        <a:xfrm>
          <a:off x="3562350" y="66675"/>
          <a:ext cx="409575" cy="314325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2</a:t>
          </a:r>
        </a:p>
      </xdr:txBody>
    </xdr:sp>
    <xdr:clientData/>
  </xdr:twoCellAnchor>
  <xdr:twoCellAnchor>
    <xdr:from>
      <xdr:col>10</xdr:col>
      <xdr:colOff>76200</xdr:colOff>
      <xdr:row>10</xdr:row>
      <xdr:rowOff>28575</xdr:rowOff>
    </xdr:from>
    <xdr:to>
      <xdr:col>10</xdr:col>
      <xdr:colOff>485775</xdr:colOff>
      <xdr:row>11</xdr:row>
      <xdr:rowOff>190500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B4C41A49-535D-44A7-B36E-2967B00A3284}"/>
            </a:ext>
          </a:extLst>
        </xdr:cNvPr>
        <xdr:cNvSpPr/>
      </xdr:nvSpPr>
      <xdr:spPr>
        <a:xfrm>
          <a:off x="6172200" y="1933575"/>
          <a:ext cx="409575" cy="352425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10</xdr:col>
      <xdr:colOff>390525</xdr:colOff>
      <xdr:row>0</xdr:row>
      <xdr:rowOff>19050</xdr:rowOff>
    </xdr:from>
    <xdr:to>
      <xdr:col>11</xdr:col>
      <xdr:colOff>190500</xdr:colOff>
      <xdr:row>1</xdr:row>
      <xdr:rowOff>180975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9D44F976-C9B1-4AC8-B6B6-4636F1723023}"/>
            </a:ext>
          </a:extLst>
        </xdr:cNvPr>
        <xdr:cNvSpPr/>
      </xdr:nvSpPr>
      <xdr:spPr>
        <a:xfrm>
          <a:off x="6486525" y="19050"/>
          <a:ext cx="409575" cy="352425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3</a:t>
          </a:r>
        </a:p>
      </xdr:txBody>
    </xdr:sp>
    <xdr:clientData/>
  </xdr:twoCellAnchor>
  <xdr:twoCellAnchor>
    <xdr:from>
      <xdr:col>0</xdr:col>
      <xdr:colOff>485775</xdr:colOff>
      <xdr:row>14</xdr:row>
      <xdr:rowOff>95250</xdr:rowOff>
    </xdr:from>
    <xdr:to>
      <xdr:col>14</xdr:col>
      <xdr:colOff>381000</xdr:colOff>
      <xdr:row>14</xdr:row>
      <xdr:rowOff>104775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46C6B7A4-2EF7-4158-ABC7-8E217D6A0BAA}"/>
            </a:ext>
          </a:extLst>
        </xdr:cNvPr>
        <xdr:cNvCxnSpPr/>
      </xdr:nvCxnSpPr>
      <xdr:spPr>
        <a:xfrm>
          <a:off x="485775" y="2762250"/>
          <a:ext cx="8429625" cy="95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584389</xdr:colOff>
      <xdr:row>28</xdr:row>
      <xdr:rowOff>46623</xdr:rowOff>
    </xdr:from>
    <xdr:ext cx="3115483" cy="3074490"/>
    <xdr:pic>
      <xdr:nvPicPr>
        <xdr:cNvPr id="2" name="Picture 1">
          <a:extLst>
            <a:ext uri="{FF2B5EF4-FFF2-40B4-BE49-F238E27FC236}">
              <a16:creationId xmlns:a16="http://schemas.microsoft.com/office/drawing/2014/main" id="{8950F80E-8918-4A28-BB59-BBDA92019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85989" y="5380623"/>
          <a:ext cx="3115483" cy="3074490"/>
        </a:xfrm>
        <a:prstGeom prst="rect">
          <a:avLst/>
        </a:prstGeom>
      </xdr:spPr>
    </xdr:pic>
    <xdr:clientData/>
  </xdr:oneCellAnchor>
  <xdr:twoCellAnchor>
    <xdr:from>
      <xdr:col>7</xdr:col>
      <xdr:colOff>47123</xdr:colOff>
      <xdr:row>4</xdr:row>
      <xdr:rowOff>76200</xdr:rowOff>
    </xdr:from>
    <xdr:to>
      <xdr:col>7</xdr:col>
      <xdr:colOff>418598</xdr:colOff>
      <xdr:row>6</xdr:row>
      <xdr:rowOff>49630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BF5B3CFC-AF91-4400-ADEA-741376AE4713}"/>
            </a:ext>
          </a:extLst>
        </xdr:cNvPr>
        <xdr:cNvSpPr/>
      </xdr:nvSpPr>
      <xdr:spPr>
        <a:xfrm>
          <a:off x="4314323" y="838200"/>
          <a:ext cx="371475" cy="35443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2</a:t>
          </a:r>
        </a:p>
      </xdr:txBody>
    </xdr:sp>
    <xdr:clientData/>
  </xdr:twoCellAnchor>
  <xdr:twoCellAnchor>
    <xdr:from>
      <xdr:col>6</xdr:col>
      <xdr:colOff>142874</xdr:colOff>
      <xdr:row>9</xdr:row>
      <xdr:rowOff>30080</xdr:rowOff>
    </xdr:from>
    <xdr:to>
      <xdr:col>6</xdr:col>
      <xdr:colOff>511341</xdr:colOff>
      <xdr:row>10</xdr:row>
      <xdr:rowOff>170448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FDA9C687-D91F-4715-90CB-676B7784D8D6}"/>
            </a:ext>
          </a:extLst>
        </xdr:cNvPr>
        <xdr:cNvSpPr/>
      </xdr:nvSpPr>
      <xdr:spPr>
        <a:xfrm>
          <a:off x="3800474" y="1744580"/>
          <a:ext cx="368467" cy="330868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3</a:t>
          </a:r>
        </a:p>
      </xdr:txBody>
    </xdr:sp>
    <xdr:clientData/>
  </xdr:twoCellAnchor>
  <xdr:twoCellAnchor>
    <xdr:from>
      <xdr:col>6</xdr:col>
      <xdr:colOff>172954</xdr:colOff>
      <xdr:row>0</xdr:row>
      <xdr:rowOff>50132</xdr:rowOff>
    </xdr:from>
    <xdr:to>
      <xdr:col>6</xdr:col>
      <xdr:colOff>582529</xdr:colOff>
      <xdr:row>1</xdr:row>
      <xdr:rowOff>220078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1B0A1468-338A-455C-9A04-420A7108B15C}"/>
            </a:ext>
          </a:extLst>
        </xdr:cNvPr>
        <xdr:cNvSpPr/>
      </xdr:nvSpPr>
      <xdr:spPr>
        <a:xfrm>
          <a:off x="3830554" y="50132"/>
          <a:ext cx="409575" cy="331871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9</xdr:col>
      <xdr:colOff>600075</xdr:colOff>
      <xdr:row>7</xdr:row>
      <xdr:rowOff>66675</xdr:rowOff>
    </xdr:from>
    <xdr:to>
      <xdr:col>10</xdr:col>
      <xdr:colOff>304800</xdr:colOff>
      <xdr:row>9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8BF37248-36DF-4C12-8E4C-DF2714F22D88}"/>
            </a:ext>
          </a:extLst>
        </xdr:cNvPr>
        <xdr:cNvSpPr/>
      </xdr:nvSpPr>
      <xdr:spPr>
        <a:xfrm>
          <a:off x="6086475" y="1400175"/>
          <a:ext cx="314325" cy="3143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5</a:t>
          </a:r>
        </a:p>
      </xdr:txBody>
    </xdr:sp>
    <xdr:clientData/>
  </xdr:twoCellAnchor>
  <xdr:twoCellAnchor>
    <xdr:from>
      <xdr:col>9</xdr:col>
      <xdr:colOff>388519</xdr:colOff>
      <xdr:row>18</xdr:row>
      <xdr:rowOff>67177</xdr:rowOff>
    </xdr:from>
    <xdr:to>
      <xdr:col>10</xdr:col>
      <xdr:colOff>94247</xdr:colOff>
      <xdr:row>19</xdr:row>
      <xdr:rowOff>229102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C681249-5A77-4B22-A5E5-454C94FC1922}"/>
            </a:ext>
          </a:extLst>
        </xdr:cNvPr>
        <xdr:cNvSpPr/>
      </xdr:nvSpPr>
      <xdr:spPr>
        <a:xfrm>
          <a:off x="5874919" y="3496177"/>
          <a:ext cx="315328" cy="3143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6</a:t>
          </a:r>
        </a:p>
      </xdr:txBody>
    </xdr:sp>
    <xdr:clientData/>
  </xdr:twoCellAnchor>
  <xdr:twoCellAnchor>
    <xdr:from>
      <xdr:col>14</xdr:col>
      <xdr:colOff>631270</xdr:colOff>
      <xdr:row>1</xdr:row>
      <xdr:rowOff>60159</xdr:rowOff>
    </xdr:from>
    <xdr:to>
      <xdr:col>15</xdr:col>
      <xdr:colOff>299900</xdr:colOff>
      <xdr:row>2</xdr:row>
      <xdr:rowOff>230073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7BD12C6D-2154-493E-A2BA-4C6326DF6D1E}"/>
            </a:ext>
          </a:extLst>
        </xdr:cNvPr>
        <xdr:cNvSpPr/>
      </xdr:nvSpPr>
      <xdr:spPr>
        <a:xfrm>
          <a:off x="9146620" y="250659"/>
          <a:ext cx="297280" cy="322314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7</a:t>
          </a:r>
        </a:p>
      </xdr:txBody>
    </xdr:sp>
    <xdr:clientData/>
  </xdr:twoCellAnchor>
  <xdr:twoCellAnchor>
    <xdr:from>
      <xdr:col>9</xdr:col>
      <xdr:colOff>685446</xdr:colOff>
      <xdr:row>0</xdr:row>
      <xdr:rowOff>18048</xdr:rowOff>
    </xdr:from>
    <xdr:to>
      <xdr:col>10</xdr:col>
      <xdr:colOff>382651</xdr:colOff>
      <xdr:row>2</xdr:row>
      <xdr:rowOff>15671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EE530DE2-6B38-414F-9E41-276051E11B94}"/>
            </a:ext>
          </a:extLst>
        </xdr:cNvPr>
        <xdr:cNvSpPr/>
      </xdr:nvSpPr>
      <xdr:spPr>
        <a:xfrm>
          <a:off x="6095646" y="18048"/>
          <a:ext cx="383005" cy="378623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14</xdr:col>
      <xdr:colOff>610717</xdr:colOff>
      <xdr:row>8</xdr:row>
      <xdr:rowOff>30079</xdr:rowOff>
    </xdr:from>
    <xdr:to>
      <xdr:col>15</xdr:col>
      <xdr:colOff>279347</xdr:colOff>
      <xdr:row>9</xdr:row>
      <xdr:rowOff>166372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CBD73CFD-8B3D-475C-969E-D45FED0401B0}"/>
            </a:ext>
          </a:extLst>
        </xdr:cNvPr>
        <xdr:cNvSpPr/>
      </xdr:nvSpPr>
      <xdr:spPr>
        <a:xfrm>
          <a:off x="9145117" y="1554079"/>
          <a:ext cx="278230" cy="326793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8</a:t>
          </a:r>
        </a:p>
      </xdr:txBody>
    </xdr:sp>
    <xdr:clientData/>
  </xdr:twoCellAnchor>
  <xdr:twoCellAnchor>
    <xdr:from>
      <xdr:col>20</xdr:col>
      <xdr:colOff>163319</xdr:colOff>
      <xdr:row>1</xdr:row>
      <xdr:rowOff>46040</xdr:rowOff>
    </xdr:from>
    <xdr:to>
      <xdr:col>28</xdr:col>
      <xdr:colOff>86505</xdr:colOff>
      <xdr:row>14</xdr:row>
      <xdr:rowOff>117040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BF24719-7C9E-41DB-ADF4-050506C47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17</xdr:col>
      <xdr:colOff>136547</xdr:colOff>
      <xdr:row>17</xdr:row>
      <xdr:rowOff>49531</xdr:rowOff>
    </xdr:from>
    <xdr:ext cx="2818079" cy="4531423"/>
    <xdr:pic>
      <xdr:nvPicPr>
        <xdr:cNvPr id="12" name="Picture 11">
          <a:extLst>
            <a:ext uri="{FF2B5EF4-FFF2-40B4-BE49-F238E27FC236}">
              <a16:creationId xmlns:a16="http://schemas.microsoft.com/office/drawing/2014/main" id="{2A2B72DD-9983-4C60-9B75-2BF7D6897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5400000">
          <a:off x="9643075" y="4144703"/>
          <a:ext cx="4531423" cy="2818079"/>
        </a:xfrm>
        <a:prstGeom prst="rect">
          <a:avLst/>
        </a:prstGeom>
      </xdr:spPr>
    </xdr:pic>
    <xdr:clientData/>
  </xdr:oneCellAnchor>
  <xdr:oneCellAnchor>
    <xdr:from>
      <xdr:col>17</xdr:col>
      <xdr:colOff>130342</xdr:colOff>
      <xdr:row>40</xdr:row>
      <xdr:rowOff>90236</xdr:rowOff>
    </xdr:from>
    <xdr:ext cx="2556712" cy="248213"/>
    <xdr:pic>
      <xdr:nvPicPr>
        <xdr:cNvPr id="13" name="Picture 12">
          <a:extLst>
            <a:ext uri="{FF2B5EF4-FFF2-40B4-BE49-F238E27FC236}">
              <a16:creationId xmlns:a16="http://schemas.microsoft.com/office/drawing/2014/main" id="{300FC512-8C34-459E-AC89-BF887F2B6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493542" y="7710236"/>
          <a:ext cx="2556712" cy="248213"/>
        </a:xfrm>
        <a:prstGeom prst="rect">
          <a:avLst/>
        </a:prstGeom>
      </xdr:spPr>
    </xdr:pic>
    <xdr:clientData/>
  </xdr:oneCellAnchor>
  <xdr:twoCellAnchor>
    <xdr:from>
      <xdr:col>18</xdr:col>
      <xdr:colOff>161538</xdr:colOff>
      <xdr:row>3</xdr:row>
      <xdr:rowOff>133446</xdr:rowOff>
    </xdr:from>
    <xdr:to>
      <xdr:col>18</xdr:col>
      <xdr:colOff>552063</xdr:colOff>
      <xdr:row>5</xdr:row>
      <xdr:rowOff>90237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63EEDF15-3DDB-4829-9DF7-24BCCD680DE7}"/>
            </a:ext>
          </a:extLst>
        </xdr:cNvPr>
        <xdr:cNvSpPr/>
      </xdr:nvSpPr>
      <xdr:spPr>
        <a:xfrm>
          <a:off x="11134338" y="704946"/>
          <a:ext cx="390525" cy="337791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9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76200</xdr:colOff>
      <xdr:row>0</xdr:row>
      <xdr:rowOff>161925</xdr:rowOff>
    </xdr:from>
    <xdr:to>
      <xdr:col>31</xdr:col>
      <xdr:colOff>381000</xdr:colOff>
      <xdr:row>13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C834EA-9CC9-4CB1-B6EC-F9A5455754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23</xdr:col>
      <xdr:colOff>296597</xdr:colOff>
      <xdr:row>19</xdr:row>
      <xdr:rowOff>133349</xdr:rowOff>
    </xdr:from>
    <xdr:ext cx="4123735" cy="4477525"/>
    <xdr:pic>
      <xdr:nvPicPr>
        <xdr:cNvPr id="3" name="Picture 2">
          <a:extLst>
            <a:ext uri="{FF2B5EF4-FFF2-40B4-BE49-F238E27FC236}">
              <a16:creationId xmlns:a16="http://schemas.microsoft.com/office/drawing/2014/main" id="{BAB15F60-F98D-4688-A7A0-723ED19A5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317397" y="3752849"/>
          <a:ext cx="4123735" cy="4477525"/>
        </a:xfrm>
        <a:prstGeom prst="rect">
          <a:avLst/>
        </a:prstGeom>
      </xdr:spPr>
    </xdr:pic>
    <xdr:clientData/>
  </xdr:oneCellAnchor>
  <xdr:twoCellAnchor>
    <xdr:from>
      <xdr:col>7</xdr:col>
      <xdr:colOff>104775</xdr:colOff>
      <xdr:row>0</xdr:row>
      <xdr:rowOff>28575</xdr:rowOff>
    </xdr:from>
    <xdr:to>
      <xdr:col>7</xdr:col>
      <xdr:colOff>514350</xdr:colOff>
      <xdr:row>1</xdr:row>
      <xdr:rowOff>190500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7F247CD8-F8AC-4C0D-BDFF-7392CDD841F7}"/>
            </a:ext>
          </a:extLst>
        </xdr:cNvPr>
        <xdr:cNvSpPr/>
      </xdr:nvSpPr>
      <xdr:spPr>
        <a:xfrm>
          <a:off x="4371975" y="28575"/>
          <a:ext cx="409575" cy="3524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6</xdr:col>
      <xdr:colOff>571500</xdr:colOff>
      <xdr:row>10</xdr:row>
      <xdr:rowOff>171450</xdr:rowOff>
    </xdr:from>
    <xdr:to>
      <xdr:col>7</xdr:col>
      <xdr:colOff>371475</xdr:colOff>
      <xdr:row>12</xdr:row>
      <xdr:rowOff>123825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550667D7-B1D3-4713-94B2-31094162F705}"/>
            </a:ext>
          </a:extLst>
        </xdr:cNvPr>
        <xdr:cNvSpPr/>
      </xdr:nvSpPr>
      <xdr:spPr>
        <a:xfrm>
          <a:off x="4229100" y="2076450"/>
          <a:ext cx="409575" cy="33337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2</a:t>
          </a:r>
        </a:p>
      </xdr:txBody>
    </xdr:sp>
    <xdr:clientData/>
  </xdr:twoCellAnchor>
  <xdr:twoCellAnchor>
    <xdr:from>
      <xdr:col>7</xdr:col>
      <xdr:colOff>114300</xdr:colOff>
      <xdr:row>18</xdr:row>
      <xdr:rowOff>85725</xdr:rowOff>
    </xdr:from>
    <xdr:to>
      <xdr:col>7</xdr:col>
      <xdr:colOff>523875</xdr:colOff>
      <xdr:row>19</xdr:row>
      <xdr:rowOff>209550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27DF4683-9C77-4FCC-A116-BE57954054D7}"/>
            </a:ext>
          </a:extLst>
        </xdr:cNvPr>
        <xdr:cNvSpPr/>
      </xdr:nvSpPr>
      <xdr:spPr>
        <a:xfrm>
          <a:off x="4381500" y="3514725"/>
          <a:ext cx="409575" cy="29527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13</xdr:col>
      <xdr:colOff>219075</xdr:colOff>
      <xdr:row>0</xdr:row>
      <xdr:rowOff>47625</xdr:rowOff>
    </xdr:from>
    <xdr:to>
      <xdr:col>14</xdr:col>
      <xdr:colOff>19050</xdr:colOff>
      <xdr:row>1</xdr:row>
      <xdr:rowOff>209550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BF763365-AC99-449D-9473-7BC07C1A011B}"/>
            </a:ext>
          </a:extLst>
        </xdr:cNvPr>
        <xdr:cNvSpPr/>
      </xdr:nvSpPr>
      <xdr:spPr>
        <a:xfrm>
          <a:off x="8143875" y="47625"/>
          <a:ext cx="409575" cy="33337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3</a:t>
          </a:r>
        </a:p>
      </xdr:txBody>
    </xdr:sp>
    <xdr:clientData/>
  </xdr:twoCellAnchor>
  <xdr:twoCellAnchor>
    <xdr:from>
      <xdr:col>17</xdr:col>
      <xdr:colOff>180975</xdr:colOff>
      <xdr:row>0</xdr:row>
      <xdr:rowOff>133350</xdr:rowOff>
    </xdr:from>
    <xdr:to>
      <xdr:col>17</xdr:col>
      <xdr:colOff>590550</xdr:colOff>
      <xdr:row>2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C3CD0BB4-A5BB-4C41-8E23-7359CF2436C0}"/>
            </a:ext>
          </a:extLst>
        </xdr:cNvPr>
        <xdr:cNvSpPr/>
      </xdr:nvSpPr>
      <xdr:spPr>
        <a:xfrm>
          <a:off x="10544175" y="133350"/>
          <a:ext cx="409575" cy="24765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5</a:t>
          </a:r>
        </a:p>
      </xdr:txBody>
    </xdr:sp>
    <xdr:clientData/>
  </xdr:twoCellAnchor>
  <xdr:twoCellAnchor>
    <xdr:from>
      <xdr:col>17</xdr:col>
      <xdr:colOff>28575</xdr:colOff>
      <xdr:row>13</xdr:row>
      <xdr:rowOff>1</xdr:rowOff>
    </xdr:from>
    <xdr:to>
      <xdr:col>17</xdr:col>
      <xdr:colOff>419100</xdr:colOff>
      <xdr:row>14</xdr:row>
      <xdr:rowOff>171451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D890F1C0-AA43-4AFA-BBB0-BC5AAE383017}"/>
            </a:ext>
          </a:extLst>
        </xdr:cNvPr>
        <xdr:cNvSpPr/>
      </xdr:nvSpPr>
      <xdr:spPr>
        <a:xfrm>
          <a:off x="10391775" y="2476501"/>
          <a:ext cx="390525" cy="36195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7</a:t>
          </a:r>
        </a:p>
      </xdr:txBody>
    </xdr:sp>
    <xdr:clientData/>
  </xdr:twoCellAnchor>
  <xdr:twoCellAnchor>
    <xdr:from>
      <xdr:col>17</xdr:col>
      <xdr:colOff>19050</xdr:colOff>
      <xdr:row>7</xdr:row>
      <xdr:rowOff>19050</xdr:rowOff>
    </xdr:from>
    <xdr:to>
      <xdr:col>17</xdr:col>
      <xdr:colOff>438150</xdr:colOff>
      <xdr:row>8</xdr:row>
      <xdr:rowOff>180975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F7903AEB-C93A-495F-8A15-87EA56D6B992}"/>
            </a:ext>
          </a:extLst>
        </xdr:cNvPr>
        <xdr:cNvSpPr/>
      </xdr:nvSpPr>
      <xdr:spPr>
        <a:xfrm>
          <a:off x="10382250" y="1352550"/>
          <a:ext cx="419100" cy="352425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6</a:t>
          </a:r>
        </a:p>
      </xdr:txBody>
    </xdr:sp>
    <xdr:clientData/>
  </xdr:twoCellAnchor>
  <xdr:twoCellAnchor>
    <xdr:from>
      <xdr:col>22</xdr:col>
      <xdr:colOff>114300</xdr:colOff>
      <xdr:row>0</xdr:row>
      <xdr:rowOff>57151</xdr:rowOff>
    </xdr:from>
    <xdr:to>
      <xdr:col>22</xdr:col>
      <xdr:colOff>504825</xdr:colOff>
      <xdr:row>2</xdr:row>
      <xdr:rowOff>1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DE021E9B-57C3-4E63-89AC-0E5C419D4E07}"/>
            </a:ext>
          </a:extLst>
        </xdr:cNvPr>
        <xdr:cNvSpPr/>
      </xdr:nvSpPr>
      <xdr:spPr>
        <a:xfrm>
          <a:off x="13525500" y="57151"/>
          <a:ext cx="390525" cy="323850"/>
        </a:xfrm>
        <a:prstGeom prst="ellipse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8</a:t>
          </a:r>
        </a:p>
      </xdr:txBody>
    </xdr:sp>
    <xdr:clientData/>
  </xdr:twoCellAnchor>
  <xdr:oneCellAnchor>
    <xdr:from>
      <xdr:col>22</xdr:col>
      <xdr:colOff>476250</xdr:colOff>
      <xdr:row>14</xdr:row>
      <xdr:rowOff>119063</xdr:rowOff>
    </xdr:from>
    <xdr:ext cx="9722704" cy="833437"/>
    <xdr:pic>
      <xdr:nvPicPr>
        <xdr:cNvPr id="12" name="Picture 11">
          <a:extLst>
            <a:ext uri="{FF2B5EF4-FFF2-40B4-BE49-F238E27FC236}">
              <a16:creationId xmlns:a16="http://schemas.microsoft.com/office/drawing/2014/main" id="{362E6B2B-AFF6-41AC-8574-348852ACB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887450" y="2786063"/>
          <a:ext cx="9722704" cy="8334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57150</xdr:colOff>
      <xdr:row>13</xdr:row>
      <xdr:rowOff>180974</xdr:rowOff>
    </xdr:from>
    <xdr:to>
      <xdr:col>28</xdr:col>
      <xdr:colOff>523875</xdr:colOff>
      <xdr:row>16</xdr:row>
      <xdr:rowOff>19049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A411E42B-E845-4A78-9BE0-2115425D31CA}"/>
            </a:ext>
          </a:extLst>
        </xdr:cNvPr>
        <xdr:cNvSpPr/>
      </xdr:nvSpPr>
      <xdr:spPr>
        <a:xfrm>
          <a:off x="17125950" y="2657474"/>
          <a:ext cx="466725" cy="409575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10</a:t>
          </a:r>
        </a:p>
      </xdr:txBody>
    </xdr:sp>
    <xdr:clientData/>
  </xdr:twoCellAnchor>
  <xdr:twoCellAnchor>
    <xdr:from>
      <xdr:col>19</xdr:col>
      <xdr:colOff>361950</xdr:colOff>
      <xdr:row>10</xdr:row>
      <xdr:rowOff>95250</xdr:rowOff>
    </xdr:from>
    <xdr:to>
      <xdr:col>20</xdr:col>
      <xdr:colOff>85725</xdr:colOff>
      <xdr:row>12</xdr:row>
      <xdr:rowOff>38100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48158ECE-5FE1-48A2-A60C-440D8FEDBA0A}"/>
            </a:ext>
          </a:extLst>
        </xdr:cNvPr>
        <xdr:cNvSpPr/>
      </xdr:nvSpPr>
      <xdr:spPr>
        <a:xfrm>
          <a:off x="11944350" y="2000250"/>
          <a:ext cx="333375" cy="323850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7</a:t>
          </a:r>
        </a:p>
      </xdr:txBody>
    </xdr:sp>
    <xdr:clientData/>
  </xdr:twoCellAnchor>
  <xdr:twoCellAnchor>
    <xdr:from>
      <xdr:col>26</xdr:col>
      <xdr:colOff>695325</xdr:colOff>
      <xdr:row>2</xdr:row>
      <xdr:rowOff>171450</xdr:rowOff>
    </xdr:from>
    <xdr:to>
      <xdr:col>27</xdr:col>
      <xdr:colOff>229620</xdr:colOff>
      <xdr:row>4</xdr:row>
      <xdr:rowOff>114300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F816544E-9BC1-4379-96AB-F331041BBC35}"/>
            </a:ext>
          </a:extLst>
        </xdr:cNvPr>
        <xdr:cNvSpPr/>
      </xdr:nvSpPr>
      <xdr:spPr>
        <a:xfrm>
          <a:off x="16459200" y="552450"/>
          <a:ext cx="229620" cy="323850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8</a:t>
          </a:r>
        </a:p>
      </xdr:txBody>
    </xdr:sp>
    <xdr:clientData/>
  </xdr:twoCellAnchor>
  <xdr:twoCellAnchor>
    <xdr:from>
      <xdr:col>7</xdr:col>
      <xdr:colOff>533400</xdr:colOff>
      <xdr:row>14</xdr:row>
      <xdr:rowOff>8504</xdr:rowOff>
    </xdr:from>
    <xdr:to>
      <xdr:col>8</xdr:col>
      <xdr:colOff>314665</xdr:colOff>
      <xdr:row>16</xdr:row>
      <xdr:rowOff>9524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EAECE76E-4FA3-4B6E-BADD-0CBD348E6B84}"/>
            </a:ext>
          </a:extLst>
        </xdr:cNvPr>
        <xdr:cNvSpPr/>
      </xdr:nvSpPr>
      <xdr:spPr>
        <a:xfrm>
          <a:off x="4800600" y="2675504"/>
          <a:ext cx="390865" cy="382020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3</a:t>
          </a:r>
        </a:p>
      </xdr:txBody>
    </xdr:sp>
    <xdr:clientData/>
  </xdr:twoCellAnchor>
  <xdr:twoCellAnchor>
    <xdr:from>
      <xdr:col>6</xdr:col>
      <xdr:colOff>381000</xdr:colOff>
      <xdr:row>0</xdr:row>
      <xdr:rowOff>25513</xdr:rowOff>
    </xdr:from>
    <xdr:to>
      <xdr:col>7</xdr:col>
      <xdr:colOff>142875</xdr:colOff>
      <xdr:row>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DAFB0F30-398D-4569-A4E4-250853168CFA}"/>
            </a:ext>
          </a:extLst>
        </xdr:cNvPr>
        <xdr:cNvSpPr/>
      </xdr:nvSpPr>
      <xdr:spPr>
        <a:xfrm>
          <a:off x="4038600" y="25513"/>
          <a:ext cx="371475" cy="355487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1</a:t>
          </a:r>
        </a:p>
      </xdr:txBody>
    </xdr:sp>
    <xdr:clientData/>
  </xdr:twoCellAnchor>
  <xdr:twoCellAnchor>
    <xdr:from>
      <xdr:col>6</xdr:col>
      <xdr:colOff>400050</xdr:colOff>
      <xdr:row>22</xdr:row>
      <xdr:rowOff>38100</xdr:rowOff>
    </xdr:from>
    <xdr:to>
      <xdr:col>7</xdr:col>
      <xdr:colOff>152400</xdr:colOff>
      <xdr:row>23</xdr:row>
      <xdr:rowOff>171450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50B20660-2A3D-43F1-AB5A-BB4EAE8C61FC}"/>
            </a:ext>
          </a:extLst>
        </xdr:cNvPr>
        <xdr:cNvSpPr/>
      </xdr:nvSpPr>
      <xdr:spPr>
        <a:xfrm>
          <a:off x="4057650" y="4229100"/>
          <a:ext cx="361950" cy="323850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4</a:t>
          </a:r>
        </a:p>
      </xdr:txBody>
    </xdr:sp>
    <xdr:clientData/>
  </xdr:twoCellAnchor>
  <xdr:twoCellAnchor>
    <xdr:from>
      <xdr:col>7</xdr:col>
      <xdr:colOff>445634</xdr:colOff>
      <xdr:row>6</xdr:row>
      <xdr:rowOff>144577</xdr:rowOff>
    </xdr:from>
    <xdr:to>
      <xdr:col>8</xdr:col>
      <xdr:colOff>207509</xdr:colOff>
      <xdr:row>8</xdr:row>
      <xdr:rowOff>109878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62B31D7C-F2D9-4419-B2AB-0EF7813072BA}"/>
            </a:ext>
          </a:extLst>
        </xdr:cNvPr>
        <xdr:cNvSpPr/>
      </xdr:nvSpPr>
      <xdr:spPr>
        <a:xfrm>
          <a:off x="4712834" y="1287577"/>
          <a:ext cx="371475" cy="346301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2</a:t>
          </a:r>
        </a:p>
      </xdr:txBody>
    </xdr:sp>
    <xdr:clientData/>
  </xdr:twoCellAnchor>
  <xdr:twoCellAnchor>
    <xdr:from>
      <xdr:col>22</xdr:col>
      <xdr:colOff>38100</xdr:colOff>
      <xdr:row>1</xdr:row>
      <xdr:rowOff>0</xdr:rowOff>
    </xdr:from>
    <xdr:to>
      <xdr:col>22</xdr:col>
      <xdr:colOff>428625</xdr:colOff>
      <xdr:row>3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7FA1C48D-3454-440E-B6E7-D6F077D95B53}"/>
            </a:ext>
          </a:extLst>
        </xdr:cNvPr>
        <xdr:cNvSpPr/>
      </xdr:nvSpPr>
      <xdr:spPr>
        <a:xfrm>
          <a:off x="13449300" y="190500"/>
          <a:ext cx="390525" cy="381000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6</a:t>
          </a:r>
        </a:p>
      </xdr:txBody>
    </xdr:sp>
    <xdr:clientData/>
  </xdr:twoCellAnchor>
  <xdr:twoCellAnchor>
    <xdr:from>
      <xdr:col>16</xdr:col>
      <xdr:colOff>57150</xdr:colOff>
      <xdr:row>0</xdr:row>
      <xdr:rowOff>0</xdr:rowOff>
    </xdr:from>
    <xdr:to>
      <xdr:col>16</xdr:col>
      <xdr:colOff>428625</xdr:colOff>
      <xdr:row>1</xdr:row>
      <xdr:rowOff>133350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DD674BA3-4AF1-4DAA-B164-82A61FD6AFAC}"/>
            </a:ext>
          </a:extLst>
        </xdr:cNvPr>
        <xdr:cNvSpPr/>
      </xdr:nvSpPr>
      <xdr:spPr>
        <a:xfrm>
          <a:off x="9810750" y="0"/>
          <a:ext cx="371475" cy="323850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5</a:t>
          </a:r>
        </a:p>
      </xdr:txBody>
    </xdr:sp>
    <xdr:clientData/>
  </xdr:twoCellAnchor>
  <xdr:twoCellAnchor>
    <xdr:from>
      <xdr:col>28</xdr:col>
      <xdr:colOff>95251</xdr:colOff>
      <xdr:row>6</xdr:row>
      <xdr:rowOff>114300</xdr:rowOff>
    </xdr:from>
    <xdr:to>
      <xdr:col>28</xdr:col>
      <xdr:colOff>495301</xdr:colOff>
      <xdr:row>8</xdr:row>
      <xdr:rowOff>133350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955E40AC-991A-4A63-8943-C228C676737B}"/>
            </a:ext>
          </a:extLst>
        </xdr:cNvPr>
        <xdr:cNvSpPr/>
      </xdr:nvSpPr>
      <xdr:spPr>
        <a:xfrm>
          <a:off x="17164051" y="1257300"/>
          <a:ext cx="400050" cy="400050"/>
        </a:xfrm>
        <a:prstGeom prst="ellipse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ysClr val="windowText" lastClr="000000"/>
              </a:solidFill>
            </a:rPr>
            <a:t>9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24</xdr:row>
      <xdr:rowOff>0</xdr:rowOff>
    </xdr:from>
    <xdr:ext cx="3677163" cy="2305372"/>
    <xdr:pic>
      <xdr:nvPicPr>
        <xdr:cNvPr id="2" name="Picture 1">
          <a:extLst>
            <a:ext uri="{FF2B5EF4-FFF2-40B4-BE49-F238E27FC236}">
              <a16:creationId xmlns:a16="http://schemas.microsoft.com/office/drawing/2014/main" id="{DDA4A757-F164-442E-BE2E-2D2ACC4A2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572000"/>
          <a:ext cx="3677163" cy="230537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Users/Charles/Documents/A%20Real%20Statistics%202019/Spreadsheets/Rel%206.2%20testing%202.xlsx" TargetMode="External"/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nk\AppData\Roaming\Microsoft\AddIns\XRealStats.xlam" TargetMode="External"/><Relationship Id="rId1" Type="http://schemas.openxmlformats.org/officeDocument/2006/relationships/externalLinkPath" Target="file:///C:\Users\brank\AppData\Roaming\Microsoft\AddIns\XRealStats.xla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f4dd54fdcc2a60a7/Documents/Linear%20Algebra/Multivariate%20Analysis%20r17a.xlsx" TargetMode="External"/><Relationship Id="rId1" Type="http://schemas.openxmlformats.org/officeDocument/2006/relationships/externalLinkPath" Target="Multivariate%20Analysis%20r17a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f4dd54fdcc2a60a7/Documents/Linear%20Algebra/Multivariate%20Analysis%20r18.xlsx" TargetMode="External"/><Relationship Id="rId1" Type="http://schemas.openxmlformats.org/officeDocument/2006/relationships/externalLinkPath" Target="Multivariate%20Analysis%20r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BOX"/>
      <definedName name="BOXTEST"/>
      <definedName name="CAColFactors"/>
      <definedName name="CAEigen"/>
      <definedName name="CARowFactors"/>
      <definedName name="CLUST"/>
      <definedName name="CLUST_Converge"/>
      <definedName name="ClustAnal"/>
      <definedName name="CORR"/>
      <definedName name="COV"/>
      <definedName name="COVPooled"/>
      <definedName name="DAClassification"/>
      <definedName name="DASummary"/>
      <definedName name="DIAG"/>
      <definedName name="DIAGONAL"/>
      <definedName name="eigVECTReal"/>
      <definedName name="eigVECTSym"/>
      <definedName name="eVECTORS"/>
      <definedName name="ExtractUnique"/>
      <definedName name="Identity"/>
      <definedName name="LDACoeff"/>
      <definedName name="LDAPredC"/>
      <definedName name="MDistSq"/>
      <definedName name="MPROD"/>
      <definedName name="MSQRT"/>
      <definedName name="QDAPred"/>
      <definedName name="QRFactorQ"/>
      <definedName name="QRFactorR"/>
      <definedName name="SVD_D"/>
      <definedName name="SVD_U"/>
      <definedName name="SVD_V"/>
      <definedName name="TRACE"/>
      <definedName name="VARIMAX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calars&amp;Matrices"/>
      <sheetName val="Square&amp;Norms"/>
      <sheetName val="Traces"/>
      <sheetName val="Transformation"/>
      <sheetName val="Lin Operations"/>
      <sheetName val="Projection"/>
      <sheetName val="Projection 3D"/>
      <sheetName val="LU Fact"/>
      <sheetName val="QR Fact"/>
      <sheetName val="Eigens"/>
      <sheetName val="Diag and Powers"/>
      <sheetName val="Cholesky"/>
      <sheetName val="EVD"/>
      <sheetName val="SD"/>
      <sheetName val="SD1"/>
      <sheetName val="SVD"/>
      <sheetName val="SVD cov"/>
      <sheetName val="Norms"/>
      <sheetName val="Centr-Norml-Stdz"/>
      <sheetName val="Covar"/>
      <sheetName val="Impact on Cov"/>
      <sheetName val="EVD &amp; SV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">
          <cell r="B1" t="str">
            <v>Centred Xc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calars&amp;Matrices"/>
      <sheetName val="Square&amp;Norms"/>
      <sheetName val="Traces"/>
      <sheetName val="Transformation"/>
      <sheetName val="Lin Operations"/>
      <sheetName val="Projection"/>
      <sheetName val="Projection 3D"/>
      <sheetName val="LU Fact"/>
      <sheetName val="QR Fact"/>
      <sheetName val="Eigens"/>
      <sheetName val="Diag and Powers"/>
      <sheetName val="Cholesky"/>
      <sheetName val="EVD"/>
      <sheetName val="SD"/>
      <sheetName val="SD1"/>
      <sheetName val="SVD"/>
      <sheetName val="SVD cov"/>
      <sheetName val="Norms"/>
      <sheetName val="Centr-Norml-Stdz"/>
      <sheetName val="Covar"/>
      <sheetName val="Impact on Cov"/>
      <sheetName val="EVD &amp; SVD"/>
      <sheetName val="PCA Intro"/>
      <sheetName val="PCA verif."/>
      <sheetName val="PCA"/>
      <sheetName val="PCA Score"/>
      <sheetName val="Fact Analysis"/>
      <sheetName val="FA Data Analysis"/>
      <sheetName val="Mahala"/>
      <sheetName val="FDA 2 grps"/>
      <sheetName val="LDA 4 grps"/>
      <sheetName val="LDA prob"/>
      <sheetName val="Real Stat DA"/>
      <sheetName val="RS Quad"/>
      <sheetName val="DA Maha dist"/>
      <sheetName val="Canon DA"/>
      <sheetName val="Clust Analysis"/>
      <sheetName val="Clust Anl add-in"/>
      <sheetName val="Clust Anl funct"/>
      <sheetName val="MDS principle"/>
      <sheetName val="MDS"/>
      <sheetName val="MDS alt"/>
      <sheetName val="MCA classic"/>
      <sheetName val="MCA matrix"/>
      <sheetName val="Real Stat MCA"/>
      <sheetName val="SSA Overview"/>
      <sheetName val="SSA Steps 0 &amp; 1"/>
      <sheetName val="SSA Steps 2-8"/>
      <sheetName val="SSA Alt Coeff"/>
      <sheetName val="Mult Reg"/>
      <sheetName val="Mult Reg Lin Alg"/>
      <sheetName val="Mult Reg Excel"/>
      <sheetName val="F-W-L theore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40">
  <rv s="0">
    <fb>201.08</fb>
    <v>0</v>
  </rv>
  <rv s="0">
    <fb>205.17</fb>
    <v>0</v>
  </rv>
  <rv s="0">
    <fb>207.82</fb>
    <v>0</v>
  </rv>
  <rv s="0">
    <fb>212.44</fb>
    <v>0</v>
  </rv>
  <rv s="0">
    <fb>213.55</fb>
    <v>0</v>
  </rv>
  <rv s="0">
    <fb>209.95</fb>
    <v>0</v>
  </rv>
  <rv s="0">
    <fb>210.01</fb>
    <v>0</v>
  </rv>
  <rv s="0">
    <fb>211.14</fb>
    <v>0</v>
  </rv>
  <rv s="0">
    <fb>212.41</fb>
    <v>0</v>
  </rv>
  <rv s="0">
    <fb>211.16</fb>
    <v>0</v>
  </rv>
  <rv s="0">
    <fb>208.62</fb>
    <v>0</v>
  </rv>
  <rv s="0">
    <fb>209.11</fb>
    <v>0</v>
  </rv>
  <rv s="0">
    <fb>210.16</fb>
    <v>0</v>
  </rv>
  <rv s="0">
    <fb>210.02</fb>
    <v>0</v>
  </rv>
  <rv s="0">
    <fb>211.18</fb>
    <v>0</v>
  </rv>
  <rv s="0">
    <fb>212.48</fb>
    <v>0</v>
  </rv>
  <rv s="0">
    <fb>214.4</fb>
    <v>0</v>
  </rv>
  <rv s="0">
    <fb>214.15</fb>
    <v>0</v>
  </rv>
  <rv s="0">
    <fb>213.76</fb>
    <v>0</v>
  </rv>
  <rv s="0">
    <fb>213.88</fb>
    <v>0</v>
  </rv>
  <rv s="0">
    <fb>45835</fb>
    <v>1</v>
  </rv>
  <rv s="0">
    <fb>45838</fb>
    <v>1</v>
  </rv>
  <rv s="0">
    <fb>45839</fb>
    <v>1</v>
  </rv>
  <rv s="0">
    <fb>45840</fb>
    <v>1</v>
  </rv>
  <rv s="0">
    <fb>45841</fb>
    <v>1</v>
  </rv>
  <rv s="0">
    <fb>45845</fb>
    <v>1</v>
  </rv>
  <rv s="0">
    <fb>45846</fb>
    <v>1</v>
  </rv>
  <rv s="0">
    <fb>45847</fb>
    <v>1</v>
  </rv>
  <rv s="0">
    <fb>45848</fb>
    <v>1</v>
  </rv>
  <rv s="0">
    <fb>45849</fb>
    <v>1</v>
  </rv>
  <rv s="0">
    <fb>45852</fb>
    <v>1</v>
  </rv>
  <rv s="0">
    <fb>45853</fb>
    <v>1</v>
  </rv>
  <rv s="0">
    <fb>45854</fb>
    <v>1</v>
  </rv>
  <rv s="0">
    <fb>45855</fb>
    <v>1</v>
  </rv>
  <rv s="0">
    <fb>45856</fb>
    <v>1</v>
  </rv>
  <rv s="0">
    <fb>45859</fb>
    <v>1</v>
  </rv>
  <rv s="0">
    <fb>45860</fb>
    <v>1</v>
  </rv>
  <rv s="0">
    <fb>45861</fb>
    <v>1</v>
  </rv>
  <rv s="0">
    <fb>45862</fb>
    <v>1</v>
  </rv>
  <rv s="0">
    <fb>45863</fb>
    <v>1</v>
  </rv>
</rvData>
</file>

<file path=xl/richData/rdrichvaluestructure.xml><?xml version="1.0" encoding="utf-8"?>
<rvStructures xmlns="http://schemas.microsoft.com/office/spreadsheetml/2017/richdata" count="1">
  <s t="_formattednumber">
    <k n="_Format" t="spb"/>
  </s>
</rvStructures>
</file>

<file path=xl/richData/rdsupportingpropertybag.xml><?xml version="1.0" encoding="utf-8"?>
<supportingPropertyBags xmlns="http://schemas.microsoft.com/office/spreadsheetml/2017/richdata2">
  <spbData count="2">
    <spb s="0">
      <v>1</v>
    </spb>
    <spb s="0">
      <v>2</v>
    </spb>
  </spbData>
</supportingPropertyBags>
</file>

<file path=xl/richData/rdsupportingpropertybagstructure.xml><?xml version="1.0" encoding="utf-8"?>
<spbStructures xmlns="http://schemas.microsoft.com/office/spreadsheetml/2017/richdata2" count="1">
  <s>
    <k n="_Self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0" formatCode="General"/>
    </x:dxf>
    <x:dxf>
      <x:numFmt numFmtId="19" formatCode="dd/mm/yyyy"/>
    </x:dxf>
  </dxfs>
  <richProperties>
    <rPr n="NumberFormat" t="s"/>
  </richProperties>
  <richStyles>
    <rSty dxfid="0">
      <rpv i="0">_([$$-en-US]* #,##0.00_);_([$$-en-US]* (#,##0.00);_([$$-en-US]* "-"??_);_(@_)</rpv>
    </rSty>
    <rSty dxfid="1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56AEA-2D71-4DBC-B6E3-BD11DB60E324}">
  <dimension ref="A1:AE23"/>
  <sheetViews>
    <sheetView workbookViewId="0">
      <selection activeCell="AQ30" sqref="AQ30"/>
    </sheetView>
  </sheetViews>
  <sheetFormatPr defaultRowHeight="14.4" x14ac:dyDescent="0.3"/>
  <cols>
    <col min="1" max="1" width="6.109375" customWidth="1"/>
    <col min="6" max="6" width="4.88671875" customWidth="1"/>
    <col min="12" max="12" width="5.44140625" customWidth="1"/>
    <col min="19" max="19" width="3.5546875" customWidth="1"/>
    <col min="24" max="24" width="5.5546875" customWidth="1"/>
    <col min="25" max="25" width="11.44140625" customWidth="1"/>
    <col min="26" max="26" width="6.109375" customWidth="1"/>
    <col min="27" max="27" width="11.44140625" customWidth="1"/>
    <col min="28" max="28" width="10.5546875" customWidth="1"/>
  </cols>
  <sheetData>
    <row r="1" spans="1:31" ht="16.8" x14ac:dyDescent="0.35">
      <c r="A1" t="s">
        <v>2</v>
      </c>
      <c r="B1" s="8" t="s">
        <v>14</v>
      </c>
      <c r="C1" s="8" t="s">
        <v>9</v>
      </c>
      <c r="D1" s="8" t="s">
        <v>8</v>
      </c>
      <c r="E1" s="8" t="s">
        <v>6</v>
      </c>
      <c r="G1" t="s">
        <v>35</v>
      </c>
      <c r="M1" s="12" t="s">
        <v>17</v>
      </c>
      <c r="T1" t="s">
        <v>34</v>
      </c>
      <c r="Y1" t="s">
        <v>33</v>
      </c>
      <c r="AA1" t="s">
        <v>3</v>
      </c>
      <c r="AB1" s="20"/>
      <c r="AC1" t="s">
        <v>32</v>
      </c>
    </row>
    <row r="2" spans="1:31" x14ac:dyDescent="0.3">
      <c r="A2" t="s">
        <v>31</v>
      </c>
      <c r="B2" s="8">
        <v>5</v>
      </c>
      <c r="C2" s="8">
        <v>4</v>
      </c>
      <c r="D2" s="8">
        <v>2</v>
      </c>
      <c r="E2" s="8">
        <v>1</v>
      </c>
      <c r="G2" s="1" cm="1">
        <f t="array" ref="G2:J5">1/5*MMULT(TRANSPOSE(B14:E19),B14:E19)</f>
        <v>1</v>
      </c>
      <c r="H2" s="1">
        <v>0.83333333333333326</v>
      </c>
      <c r="I2" s="1">
        <v>-0.85280286542244199</v>
      </c>
      <c r="J2" s="1">
        <v>-0.97439119569461985</v>
      </c>
      <c r="M2">
        <f>G9</f>
        <v>3.6377623911311971</v>
      </c>
      <c r="N2">
        <v>0</v>
      </c>
      <c r="O2">
        <v>0</v>
      </c>
      <c r="P2">
        <v>0</v>
      </c>
      <c r="T2">
        <f t="shared" ref="T2:W5" si="0">G10</f>
        <v>-0.50323718307556375</v>
      </c>
      <c r="U2">
        <f t="shared" si="0"/>
        <v>-0.47048671213652948</v>
      </c>
      <c r="V2">
        <f t="shared" si="0"/>
        <v>-0.2436587490438491</v>
      </c>
      <c r="W2">
        <f t="shared" si="0"/>
        <v>-0.68266024147266502</v>
      </c>
      <c r="Y2">
        <f>B2</f>
        <v>5</v>
      </c>
      <c r="AA2" cm="1">
        <f t="array" ref="AA2:AA5">STANDARDIZE(Y2:Y5,TRANSPOSE(B10:E10),TRANSPOSE(B11:E11))</f>
        <v>1.2909944487358056</v>
      </c>
      <c r="AC2" cm="1">
        <f t="array" ref="AC2:AC5">MMULT(TRANSPOSE(T2:W5),AA2:AA5)</f>
        <v>-2.1494662563547386</v>
      </c>
      <c r="AD2" t="s">
        <v>30</v>
      </c>
      <c r="AE2" t="str">
        <f ca="1">_xlfn.FORMULATEXT(AC2)</f>
        <v>=MMULT(TRANSPOSE(T2:W5),AA2:AA5)</v>
      </c>
    </row>
    <row r="3" spans="1:31" x14ac:dyDescent="0.3">
      <c r="A3" t="s">
        <v>29</v>
      </c>
      <c r="B3" s="8">
        <v>4</v>
      </c>
      <c r="C3" s="8">
        <v>5</v>
      </c>
      <c r="D3" s="8">
        <v>2</v>
      </c>
      <c r="E3" s="8">
        <v>2</v>
      </c>
      <c r="G3" s="1">
        <v>0.83333333333333326</v>
      </c>
      <c r="H3" s="1">
        <v>1</v>
      </c>
      <c r="I3" s="1">
        <v>-0.95940322360024755</v>
      </c>
      <c r="J3" s="1">
        <v>-0.82448485789544756</v>
      </c>
      <c r="M3">
        <v>0</v>
      </c>
      <c r="N3">
        <f>H9</f>
        <v>0.29683287478026638</v>
      </c>
      <c r="O3">
        <v>0</v>
      </c>
      <c r="P3">
        <v>0</v>
      </c>
      <c r="T3">
        <f t="shared" si="0"/>
        <v>-0.49706368677524909</v>
      </c>
      <c r="U3">
        <f t="shared" si="0"/>
        <v>0.524940673473694</v>
      </c>
      <c r="V3">
        <f t="shared" si="0"/>
        <v>0.65216346299897854</v>
      </c>
      <c r="W3">
        <f t="shared" si="0"/>
        <v>-0.22813986532730113</v>
      </c>
      <c r="Y3">
        <f>C2</f>
        <v>4</v>
      </c>
      <c r="AA3">
        <v>0.6454972243679028</v>
      </c>
      <c r="AC3">
        <v>-0.40619352018223531</v>
      </c>
      <c r="AD3" t="s">
        <v>28</v>
      </c>
    </row>
    <row r="4" spans="1:31" x14ac:dyDescent="0.3">
      <c r="A4" t="s">
        <v>27</v>
      </c>
      <c r="B4" s="8">
        <v>1</v>
      </c>
      <c r="C4" s="8">
        <v>2</v>
      </c>
      <c r="D4" s="8">
        <v>4</v>
      </c>
      <c r="E4" s="8">
        <v>5</v>
      </c>
      <c r="G4" s="1">
        <v>-0.85280286542244199</v>
      </c>
      <c r="H4" s="1">
        <v>-0.95940322360024755</v>
      </c>
      <c r="I4" s="1">
        <v>1.0000000000000007</v>
      </c>
      <c r="J4" s="1">
        <v>0.83096360373077127</v>
      </c>
      <c r="M4">
        <v>0</v>
      </c>
      <c r="N4">
        <v>0</v>
      </c>
      <c r="O4">
        <f>I9</f>
        <v>4.2889677449110784E-2</v>
      </c>
      <c r="P4">
        <v>0</v>
      </c>
      <c r="T4">
        <f t="shared" si="0"/>
        <v>0.50068616032788182</v>
      </c>
      <c r="U4">
        <f t="shared" si="0"/>
        <v>-0.47589397007768203</v>
      </c>
      <c r="V4">
        <f t="shared" si="0"/>
        <v>0.66700648915363048</v>
      </c>
      <c r="W4">
        <f t="shared" si="0"/>
        <v>-0.279178511935951</v>
      </c>
      <c r="Y4">
        <f>D2</f>
        <v>2</v>
      </c>
      <c r="AA4">
        <v>-1.1009637651263611</v>
      </c>
      <c r="AC4">
        <v>-0.29413793681415207</v>
      </c>
      <c r="AD4" t="s">
        <v>26</v>
      </c>
    </row>
    <row r="5" spans="1:31" x14ac:dyDescent="0.3">
      <c r="A5" t="s">
        <v>25</v>
      </c>
      <c r="B5" s="8">
        <v>2</v>
      </c>
      <c r="C5" s="8">
        <v>1</v>
      </c>
      <c r="D5" s="8">
        <v>5</v>
      </c>
      <c r="E5" s="8">
        <v>4</v>
      </c>
      <c r="G5" s="1">
        <v>-0.97439119569461985</v>
      </c>
      <c r="H5" s="1">
        <v>-0.82448485789544756</v>
      </c>
      <c r="I5" s="1">
        <v>0.83096360373077127</v>
      </c>
      <c r="J5" s="1">
        <v>0.99999999999999967</v>
      </c>
      <c r="M5">
        <v>0</v>
      </c>
      <c r="N5">
        <v>0</v>
      </c>
      <c r="O5">
        <v>0</v>
      </c>
      <c r="P5">
        <f>J9</f>
        <v>2.2515056639427634E-2</v>
      </c>
      <c r="T5">
        <f t="shared" si="0"/>
        <v>0.49899238242250848</v>
      </c>
      <c r="U5">
        <f t="shared" si="0"/>
        <v>0.52593200347539748</v>
      </c>
      <c r="V5">
        <f t="shared" si="0"/>
        <v>-0.26535933179467103</v>
      </c>
      <c r="W5">
        <f t="shared" si="0"/>
        <v>-0.6355993667666382</v>
      </c>
      <c r="Y5">
        <f>E2</f>
        <v>1</v>
      </c>
      <c r="AA5">
        <v>-1.257933624538798</v>
      </c>
      <c r="AC5">
        <v>7.8333008884405975E-2</v>
      </c>
      <c r="AD5" t="s">
        <v>24</v>
      </c>
    </row>
    <row r="6" spans="1:31" x14ac:dyDescent="0.3">
      <c r="A6" t="s">
        <v>23</v>
      </c>
      <c r="B6" s="8">
        <v>4</v>
      </c>
      <c r="C6" s="8">
        <v>4</v>
      </c>
      <c r="D6" s="8">
        <v>3</v>
      </c>
      <c r="E6" s="8">
        <v>2</v>
      </c>
      <c r="G6" t="str">
        <f ca="1">_xlfn.FORMULATEXT(G2)</f>
        <v>=1/5*MMULT(TRANSPOSE(B14:E19),B14:E19)</v>
      </c>
      <c r="M6" t="str">
        <f ca="1">_xlfn.FORMULATEXT(M2)</f>
        <v>=G9</v>
      </c>
      <c r="Q6" s="4">
        <f>SUM(M2,N3,O4,P5)</f>
        <v>4.0000000000000018</v>
      </c>
      <c r="T6" t="str">
        <f ca="1">_xlfn.FORMULATEXT(T2)</f>
        <v>=G10</v>
      </c>
      <c r="Y6" t="str">
        <f ca="1">_xlfn.FORMULATEXT(Y2)</f>
        <v>=B2</v>
      </c>
      <c r="AA6" t="str">
        <f ca="1">_xlfn.FORMULATEXT(AA2)</f>
        <v>=STANDARDIZE(Y2:Y5,TRANSPOSE(B10:E10),TRANSPOSE(B11:E11))</v>
      </c>
    </row>
    <row r="7" spans="1:31" x14ac:dyDescent="0.3">
      <c r="A7" t="s">
        <v>22</v>
      </c>
      <c r="B7" s="8">
        <v>2</v>
      </c>
      <c r="C7" s="8">
        <v>2</v>
      </c>
      <c r="D7" s="8">
        <v>4</v>
      </c>
      <c r="E7" s="8">
        <v>5</v>
      </c>
      <c r="Q7" t="str">
        <f ca="1">_xlfn.FORMULATEXT(Q6)</f>
        <v>=SUM(M2,N3,O4,P5)</v>
      </c>
    </row>
    <row r="8" spans="1:31" x14ac:dyDescent="0.3">
      <c r="G8" s="8" t="s">
        <v>21</v>
      </c>
      <c r="M8" t="s">
        <v>20</v>
      </c>
      <c r="N8" s="16" cm="1">
        <f t="array" ref="N8">[2]!TRACE(M2:P5)</f>
        <v>4.0000000000000018</v>
      </c>
      <c r="O8" t="str">
        <f ca="1">_xlfn.FORMULATEXT(N8)</f>
        <v>=TRACE(M2:P5)</v>
      </c>
      <c r="Q8" t="s">
        <v>19</v>
      </c>
      <c r="Y8" t="s">
        <v>18</v>
      </c>
      <c r="AA8" t="s">
        <v>3</v>
      </c>
      <c r="AC8" t="s">
        <v>2</v>
      </c>
    </row>
    <row r="9" spans="1:31" x14ac:dyDescent="0.3">
      <c r="B9" s="8" t="s">
        <v>14</v>
      </c>
      <c r="C9" s="8" t="s">
        <v>9</v>
      </c>
      <c r="D9" s="8" t="s">
        <v>8</v>
      </c>
      <c r="E9" s="8" t="s">
        <v>6</v>
      </c>
      <c r="F9" s="3" t="s">
        <v>17</v>
      </c>
      <c r="G9" s="19" cm="1">
        <f t="array" ref="G9:J15">[2]!eigVECTSym(G2:J5)</f>
        <v>3.6377623911311971</v>
      </c>
      <c r="H9" s="18">
        <v>0.29683287478026638</v>
      </c>
      <c r="I9" s="18">
        <v>4.2889677449110784E-2</v>
      </c>
      <c r="J9" s="17">
        <v>2.2515056639427634E-2</v>
      </c>
      <c r="K9" s="16">
        <f>SUM(G9:J9)</f>
        <v>4.0000000000000018</v>
      </c>
      <c r="L9" t="str">
        <f ca="1">_xlfn.FORMULATEXT(K9)</f>
        <v>=SUM(G9:J9)</v>
      </c>
      <c r="N9" s="1"/>
      <c r="Y9">
        <f>AC2</f>
        <v>-2.1494662563547386</v>
      </c>
      <c r="AA9" cm="1">
        <f t="array" ref="AA9:AA12">MMULT(T2:W5,Y9:Y12)</f>
        <v>1.2909944487358049</v>
      </c>
      <c r="AC9" cm="1">
        <f t="array" ref="AC9:AC12">AA9:AA12*TRANSPOSE(B11:E11)+TRANSPOSE(B10:E10)</f>
        <v>4.9999999999999991</v>
      </c>
    </row>
    <row r="10" spans="1:31" x14ac:dyDescent="0.3">
      <c r="A10" t="s">
        <v>16</v>
      </c>
      <c r="B10">
        <f>AVERAGE(B2:B7)</f>
        <v>3</v>
      </c>
      <c r="C10">
        <f>AVERAGE(C2:C7)</f>
        <v>3</v>
      </c>
      <c r="D10">
        <f>AVERAGE(D2:D7)</f>
        <v>3.3333333333333335</v>
      </c>
      <c r="E10">
        <f>AVERAGE(E2:E7)</f>
        <v>3.1666666666666665</v>
      </c>
      <c r="F10" s="2" t="s">
        <v>15</v>
      </c>
      <c r="G10" s="15">
        <v>-0.50323718307556375</v>
      </c>
      <c r="H10" s="14">
        <v>-0.47048671213652948</v>
      </c>
      <c r="I10" s="14">
        <v>-0.2436587490438491</v>
      </c>
      <c r="J10" s="13">
        <v>-0.68266024147266502</v>
      </c>
      <c r="K10" t="s">
        <v>14</v>
      </c>
      <c r="M10" s="12" t="s">
        <v>13</v>
      </c>
      <c r="N10" s="11" t="s">
        <v>12</v>
      </c>
      <c r="O10" s="11" t="s">
        <v>11</v>
      </c>
      <c r="Y10">
        <f>AC3</f>
        <v>-0.40619352018223531</v>
      </c>
      <c r="AA10">
        <v>0.64549722436790302</v>
      </c>
      <c r="AC10">
        <v>4</v>
      </c>
    </row>
    <row r="11" spans="1:31" x14ac:dyDescent="0.3">
      <c r="A11" t="s">
        <v>10</v>
      </c>
      <c r="B11">
        <f>_xlfn.STDEV.S(B2:B7)</f>
        <v>1.5491933384829668</v>
      </c>
      <c r="C11">
        <f>_xlfn.STDEV.S(C2:C7)</f>
        <v>1.5491933384829668</v>
      </c>
      <c r="D11">
        <f>_xlfn.STDEV.S(D2:D7)</f>
        <v>1.2110601416389963</v>
      </c>
      <c r="E11">
        <f>_xlfn.STDEV.S(E2:E7)</f>
        <v>1.7224014243685086</v>
      </c>
      <c r="G11" s="10">
        <v>-0.49706368677524909</v>
      </c>
      <c r="H11">
        <v>0.524940673473694</v>
      </c>
      <c r="I11">
        <v>0.65216346299897854</v>
      </c>
      <c r="J11" s="9">
        <v>-0.22813986532730113</v>
      </c>
      <c r="K11" t="s">
        <v>9</v>
      </c>
      <c r="M11">
        <f>G9</f>
        <v>3.6377623911311971</v>
      </c>
      <c r="N11">
        <f>M11/$M$15</f>
        <v>0.90944059778279884</v>
      </c>
      <c r="O11">
        <f>N11</f>
        <v>0.90944059778279884</v>
      </c>
      <c r="Y11">
        <f>AC4</f>
        <v>-0.29413793681415207</v>
      </c>
      <c r="AA11">
        <v>-1.1009637651263617</v>
      </c>
      <c r="AC11">
        <v>1.9999999999999991</v>
      </c>
    </row>
    <row r="12" spans="1:31" x14ac:dyDescent="0.3">
      <c r="G12" s="10">
        <v>0.50068616032788182</v>
      </c>
      <c r="H12">
        <v>-0.47589397007768203</v>
      </c>
      <c r="I12">
        <v>0.66700648915363048</v>
      </c>
      <c r="J12" s="9">
        <v>-0.279178511935951</v>
      </c>
      <c r="K12" t="s">
        <v>8</v>
      </c>
      <c r="M12">
        <f>H9</f>
        <v>0.29683287478026638</v>
      </c>
      <c r="N12">
        <f>M12/$M$15</f>
        <v>7.4208218695066566E-2</v>
      </c>
      <c r="O12">
        <f>N12+O11</f>
        <v>0.9836488164778654</v>
      </c>
      <c r="Y12">
        <f>AC5</f>
        <v>7.8333008884405975E-2</v>
      </c>
      <c r="AA12">
        <v>-1.2579336245387962</v>
      </c>
      <c r="AC12">
        <v>1.0000000000000031</v>
      </c>
    </row>
    <row r="13" spans="1:31" ht="15.6" x14ac:dyDescent="0.35">
      <c r="B13" s="8" t="s">
        <v>7</v>
      </c>
      <c r="G13" s="7">
        <v>0.49899238242250848</v>
      </c>
      <c r="H13" s="6">
        <v>0.52593200347539748</v>
      </c>
      <c r="I13" s="6">
        <v>-0.26535933179467103</v>
      </c>
      <c r="J13" s="5">
        <v>-0.6355993667666382</v>
      </c>
      <c r="K13" t="s">
        <v>6</v>
      </c>
      <c r="M13">
        <f>I9</f>
        <v>4.2889677449110784E-2</v>
      </c>
      <c r="N13">
        <f>M13/$M$15</f>
        <v>1.0722419362277691E-2</v>
      </c>
      <c r="O13">
        <f>N13+O12</f>
        <v>0.99437123584014309</v>
      </c>
      <c r="Y13" t="str">
        <f ca="1">_xlfn.FORMULATEXT(Y9)</f>
        <v>=AC2</v>
      </c>
      <c r="AA13" t="str">
        <f ca="1">_xlfn.FORMULATEXT(AA9)</f>
        <v>=MMULT(T2:W5,Y9:Y12)</v>
      </c>
      <c r="AC13" t="str">
        <f ca="1">_xlfn.FORMULATEXT(AC9)</f>
        <v>=AA9:AA12*TRANSPOSE(B11:E11)+TRANSPOSE(B10:E10)</v>
      </c>
    </row>
    <row r="14" spans="1:31" x14ac:dyDescent="0.3">
      <c r="B14" cm="1">
        <f t="array" ref="B14:B19">(B2:B7-B10)/B11</f>
        <v>1.2909944487358056</v>
      </c>
      <c r="C14" cm="1">
        <f t="array" ref="C14:C19">(C2:C7-C10)/C11</f>
        <v>0.6454972243679028</v>
      </c>
      <c r="D14" cm="1">
        <f t="array" ref="D14:D19">(D2:D7-D10)/D11</f>
        <v>-1.1009637651263611</v>
      </c>
      <c r="E14" cm="1">
        <f t="array" ref="E14:E19">(E2:E7-E10)/E11</f>
        <v>-1.257933624538798</v>
      </c>
      <c r="G14">
        <v>7.9488172770236415E-14</v>
      </c>
      <c r="H14">
        <v>2.6750951570736809E-17</v>
      </c>
      <c r="I14">
        <v>-1.810354299978627E-18</v>
      </c>
      <c r="J14">
        <v>3.3914408940322625E-18</v>
      </c>
      <c r="M14">
        <f>J9</f>
        <v>2.2515056639427634E-2</v>
      </c>
      <c r="N14">
        <f>M14/$M$15</f>
        <v>5.628764159856906E-3</v>
      </c>
      <c r="O14">
        <f>N14+O13</f>
        <v>1</v>
      </c>
    </row>
    <row r="15" spans="1:31" x14ac:dyDescent="0.3">
      <c r="B15">
        <v>0.6454972243679028</v>
      </c>
      <c r="C15">
        <v>1.2909944487358056</v>
      </c>
      <c r="D15">
        <v>-1.1009637651263611</v>
      </c>
      <c r="E15">
        <v>-0.6773488747516605</v>
      </c>
      <c r="G15">
        <v>3.6637359812630166E-15</v>
      </c>
      <c r="H15">
        <v>4.9960036108132044E-16</v>
      </c>
      <c r="I15">
        <v>5.5511151231257827E-17</v>
      </c>
      <c r="J15">
        <v>2.2204460492503131E-16</v>
      </c>
      <c r="M15" s="4">
        <f>SUM(M11:M14)</f>
        <v>4.0000000000000018</v>
      </c>
      <c r="O15" t="str">
        <f ca="1">_xlfn.FORMULATEXT(O14)</f>
        <v>=N14+O13</v>
      </c>
      <c r="T15" t="s">
        <v>5</v>
      </c>
      <c r="W15" t="s">
        <v>4</v>
      </c>
      <c r="Y15" t="s">
        <v>3</v>
      </c>
      <c r="AB15" t="s">
        <v>2</v>
      </c>
    </row>
    <row r="16" spans="1:31" x14ac:dyDescent="0.3">
      <c r="B16">
        <v>-1.2909944487358056</v>
      </c>
      <c r="C16">
        <v>-0.6454972243679028</v>
      </c>
      <c r="D16">
        <v>0.55048188256318031</v>
      </c>
      <c r="E16">
        <v>1.0644053746097524</v>
      </c>
      <c r="G16" t="str">
        <f ca="1">_xlfn.FORMULATEXT(G9)</f>
        <v>=eigVECTSym(G2:J5)</v>
      </c>
      <c r="M16" t="str">
        <f ca="1">_xlfn.FORMULATEXT(M15)</f>
        <v>=SUM(M11:M14)</v>
      </c>
      <c r="T16">
        <f t="shared" ref="T16:U19" si="1">G10</f>
        <v>-0.50323718307556375</v>
      </c>
      <c r="U16">
        <f t="shared" si="1"/>
        <v>-0.47048671213652948</v>
      </c>
      <c r="W16">
        <f>AC2</f>
        <v>-2.1494662563547386</v>
      </c>
      <c r="Y16" cm="1">
        <f t="array" ref="Y16:Y19">MMULT(T16:U19,W16:W17)</f>
        <v>1.272799997765639</v>
      </c>
      <c r="AB16" cm="1">
        <f t="array" ref="AB16:AB19">Y16:Y19*TRANSPOSE(B11:E11)+TRANSPOSE(B10:E10)</f>
        <v>4.9718132777596633</v>
      </c>
      <c r="AC16" t="s">
        <v>1</v>
      </c>
    </row>
    <row r="17" spans="2:29" x14ac:dyDescent="0.3">
      <c r="B17">
        <v>-0.6454972243679028</v>
      </c>
      <c r="C17">
        <v>-1.2909944487358056</v>
      </c>
      <c r="D17">
        <v>1.376204706407951</v>
      </c>
      <c r="E17">
        <v>0.48382062482261473</v>
      </c>
      <c r="N17" t="str">
        <f ca="1">_xlfn.FORMULATEXT(N11)</f>
        <v>=M11/$M$15</v>
      </c>
      <c r="T17">
        <f t="shared" si="1"/>
        <v>-0.49706368677524909</v>
      </c>
      <c r="U17">
        <f t="shared" si="1"/>
        <v>0.524940673473694</v>
      </c>
      <c r="W17">
        <f>AC3</f>
        <v>-0.40619352018223531</v>
      </c>
      <c r="Y17">
        <v>0.85519412193756583</v>
      </c>
      <c r="AB17">
        <v>4.3248610368154665</v>
      </c>
    </row>
    <row r="18" spans="2:29" ht="16.2" x14ac:dyDescent="0.3">
      <c r="B18">
        <v>0.6454972243679028</v>
      </c>
      <c r="C18">
        <v>0.6454972243679028</v>
      </c>
      <c r="D18">
        <v>-0.27524094128159032</v>
      </c>
      <c r="E18">
        <v>-0.6773488747516605</v>
      </c>
      <c r="G18" t="s">
        <v>0</v>
      </c>
      <c r="T18">
        <f t="shared" si="1"/>
        <v>0.50068616032788182</v>
      </c>
      <c r="U18">
        <f t="shared" si="1"/>
        <v>-0.47589397007768203</v>
      </c>
      <c r="Y18">
        <v>-0.88290295970924759</v>
      </c>
      <c r="AB18">
        <v>2.264084749894363</v>
      </c>
    </row>
    <row r="19" spans="2:29" x14ac:dyDescent="0.3">
      <c r="B19">
        <v>-0.6454972243679028</v>
      </c>
      <c r="C19">
        <v>-0.6454972243679028</v>
      </c>
      <c r="D19">
        <v>0.55048188256318031</v>
      </c>
      <c r="E19">
        <v>1.0644053746097524</v>
      </c>
      <c r="G19" s="1" cm="1">
        <f t="array" ref="G19:J22">MMULT(G10:J13,MMULT(M2:P5,TRANSPOSE(G10:J13)))</f>
        <v>0.999999999999999</v>
      </c>
      <c r="H19" s="1">
        <v>0.83333333333333259</v>
      </c>
      <c r="I19" s="1">
        <v>-0.85280286542244321</v>
      </c>
      <c r="J19" s="1">
        <v>-0.97439119569461896</v>
      </c>
      <c r="L19" s="3"/>
      <c r="T19">
        <f t="shared" si="1"/>
        <v>0.49899238242250848</v>
      </c>
      <c r="U19">
        <f t="shared" si="1"/>
        <v>0.52593200347539748</v>
      </c>
      <c r="Y19">
        <v>-1.2861974600634087</v>
      </c>
      <c r="AB19">
        <v>0.95131832943429329</v>
      </c>
    </row>
    <row r="20" spans="2:29" x14ac:dyDescent="0.3">
      <c r="B20" t="str">
        <f ca="1">_xlfn.FORMULATEXT(B14)</f>
        <v>=(B2:B7-B10)/B11</v>
      </c>
      <c r="G20" s="1">
        <v>0.83333333333333259</v>
      </c>
      <c r="H20" s="1">
        <v>0.99999999999999911</v>
      </c>
      <c r="I20" s="1">
        <v>-0.95940322360024888</v>
      </c>
      <c r="J20" s="1">
        <v>-0.82448485789544701</v>
      </c>
      <c r="L20" s="2"/>
      <c r="T20" t="str">
        <f ca="1">_xlfn.FORMULATEXT(T16)</f>
        <v>=G10</v>
      </c>
      <c r="W20" t="str">
        <f ca="1">_xlfn.FORMULATEXT(W16)</f>
        <v>=AC2</v>
      </c>
      <c r="Y20" t="str">
        <f ca="1">_xlfn.FORMULATEXT(Y16)</f>
        <v>=MMULT(T16:U19,W16:W17)</v>
      </c>
      <c r="AC20" t="str">
        <f ca="1">_xlfn.FORMULATEXT(AB16)</f>
        <v>=Y16:Y19*TRANSPOSE(B11:E11)+TRANSPOSE(B10:E10)</v>
      </c>
    </row>
    <row r="21" spans="2:29" x14ac:dyDescent="0.3">
      <c r="G21" s="1">
        <v>-0.85280286542244332</v>
      </c>
      <c r="H21" s="1">
        <v>-0.95940322360024888</v>
      </c>
      <c r="I21" s="1">
        <v>1.000000000000004</v>
      </c>
      <c r="J21" s="1">
        <v>0.83096360373077216</v>
      </c>
    </row>
    <row r="22" spans="2:29" x14ac:dyDescent="0.3">
      <c r="G22" s="1">
        <v>-0.97439119569461907</v>
      </c>
      <c r="H22" s="1">
        <v>-0.82448485789544712</v>
      </c>
      <c r="I22" s="1">
        <v>0.83096360373077216</v>
      </c>
      <c r="J22" s="1">
        <v>0.99999999999999889</v>
      </c>
    </row>
    <row r="23" spans="2:29" x14ac:dyDescent="0.3">
      <c r="G23" s="1" t="str">
        <f ca="1">_xlfn.FORMULATEXT(G19)</f>
        <v>=MMULT(G10:J13,MMULT(M2:P5,TRANSPOSE(G10:J13)))</v>
      </c>
      <c r="H23" s="1"/>
      <c r="I23" s="1"/>
      <c r="J23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B94E-C3FD-46AD-9C83-4147D5700EA2}">
  <dimension ref="A1:AB25"/>
  <sheetViews>
    <sheetView workbookViewId="0">
      <selection activeCell="N30" sqref="N30"/>
    </sheetView>
  </sheetViews>
  <sheetFormatPr defaultRowHeight="14.4" x14ac:dyDescent="0.3"/>
  <sheetData>
    <row r="1" spans="1:28" x14ac:dyDescent="0.3">
      <c r="A1" t="s">
        <v>180</v>
      </c>
    </row>
    <row r="2" spans="1:28" x14ac:dyDescent="0.3">
      <c r="B2" s="8" t="s">
        <v>178</v>
      </c>
      <c r="C2" s="8" t="s">
        <v>177</v>
      </c>
      <c r="D2" s="8" t="s">
        <v>176</v>
      </c>
      <c r="F2" s="23" t="s">
        <v>239</v>
      </c>
      <c r="I2" t="s">
        <v>238</v>
      </c>
    </row>
    <row r="3" spans="1:28" x14ac:dyDescent="0.3">
      <c r="A3" s="2" t="s">
        <v>155</v>
      </c>
      <c r="B3" s="8">
        <v>76</v>
      </c>
      <c r="C3" s="8">
        <v>35</v>
      </c>
      <c r="D3" s="8">
        <v>10</v>
      </c>
      <c r="F3" s="2" t="s">
        <v>155</v>
      </c>
      <c r="G3" s="8">
        <f>1/4</f>
        <v>0.25</v>
      </c>
    </row>
    <row r="4" spans="1:28" x14ac:dyDescent="0.3">
      <c r="A4" s="2" t="s">
        <v>155</v>
      </c>
      <c r="B4" s="8">
        <v>85</v>
      </c>
      <c r="C4" s="8">
        <v>46</v>
      </c>
      <c r="D4" s="8">
        <v>6</v>
      </c>
      <c r="F4" s="2" t="s">
        <v>148</v>
      </c>
      <c r="G4" s="8">
        <f>1/4</f>
        <v>0.25</v>
      </c>
      <c r="I4" t="s">
        <v>175</v>
      </c>
      <c r="N4" t="s">
        <v>237</v>
      </c>
      <c r="Q4" t="s">
        <v>236</v>
      </c>
      <c r="X4" t="s">
        <v>235</v>
      </c>
    </row>
    <row r="5" spans="1:28" x14ac:dyDescent="0.3">
      <c r="A5" s="2" t="s">
        <v>155</v>
      </c>
      <c r="B5" s="8">
        <v>87</v>
      </c>
      <c r="C5" s="8">
        <v>37</v>
      </c>
      <c r="D5" s="8">
        <v>10</v>
      </c>
      <c r="F5" s="2" t="s">
        <v>196</v>
      </c>
      <c r="G5" s="8">
        <f>1/4</f>
        <v>0.25</v>
      </c>
    </row>
    <row r="6" spans="1:28" x14ac:dyDescent="0.3">
      <c r="A6" s="2" t="s">
        <v>155</v>
      </c>
      <c r="B6" s="8">
        <v>86</v>
      </c>
      <c r="C6" s="8">
        <v>48</v>
      </c>
      <c r="D6" s="8">
        <v>10</v>
      </c>
      <c r="F6" s="2" t="s">
        <v>194</v>
      </c>
      <c r="G6" s="8">
        <f>1/4</f>
        <v>0.25</v>
      </c>
      <c r="J6" s="8">
        <f>B3</f>
        <v>76</v>
      </c>
      <c r="K6" s="8">
        <f>C3</f>
        <v>35</v>
      </c>
      <c r="L6" s="8">
        <f>D3</f>
        <v>10</v>
      </c>
      <c r="N6" s="8" t="s">
        <v>234</v>
      </c>
      <c r="O6" s="8" t="s">
        <v>233</v>
      </c>
      <c r="Q6" s="8" t="str">
        <f t="array" ref="Q6:V11">[2]!DAClassification(A4:D22,N7:N10,TRUE)</f>
        <v/>
      </c>
      <c r="R6" s="8" t="str">
        <v>Site A</v>
      </c>
      <c r="S6" s="8" t="str">
        <v>Site B</v>
      </c>
      <c r="T6" s="8" t="str">
        <v>Site C</v>
      </c>
      <c r="U6" s="8" t="str">
        <v>Site D</v>
      </c>
      <c r="V6" s="8" t="str">
        <v/>
      </c>
      <c r="X6" s="8" t="str">
        <f t="array" ref="X6:AB25">[2]!LDAPredC(B4:D22,I15:M18,N7:N10,TRUE)</f>
        <v>Site A</v>
      </c>
      <c r="Y6" s="8" t="str">
        <v>Site B</v>
      </c>
      <c r="Z6" s="8" t="str">
        <v>Site C</v>
      </c>
      <c r="AA6" s="8" t="str">
        <v>Site D</v>
      </c>
      <c r="AB6" s="8" t="str">
        <v>category</v>
      </c>
    </row>
    <row r="7" spans="1:28" x14ac:dyDescent="0.3">
      <c r="A7" s="2" t="s">
        <v>155</v>
      </c>
      <c r="B7" s="8">
        <v>72</v>
      </c>
      <c r="C7" s="8">
        <v>47</v>
      </c>
      <c r="D7" s="8">
        <v>10</v>
      </c>
      <c r="I7" t="str">
        <f t="array" ref="I7:I10">[2]!ExtractUnique(A4:D22,"")</f>
        <v>Site A</v>
      </c>
      <c r="J7" s="118">
        <f t="shared" ref="J7:L10" si="0">AVERAGEIF($A$4:$A$22,$I7,B$4:B$22)</f>
        <v>82.5</v>
      </c>
      <c r="K7" s="120">
        <f t="shared" si="0"/>
        <v>44.5</v>
      </c>
      <c r="L7" s="117">
        <f t="shared" si="0"/>
        <v>9</v>
      </c>
      <c r="N7" s="118">
        <f>G3</f>
        <v>0.25</v>
      </c>
      <c r="O7" s="117">
        <f>LN(N7)</f>
        <v>-1.3862943611198906</v>
      </c>
      <c r="Q7" t="str">
        <v>Site A</v>
      </c>
      <c r="R7" s="118">
        <v>2</v>
      </c>
      <c r="S7" s="120">
        <v>1</v>
      </c>
      <c r="T7" s="120">
        <v>1</v>
      </c>
      <c r="U7" s="117">
        <v>0</v>
      </c>
      <c r="V7">
        <v>4</v>
      </c>
      <c r="X7" s="118">
        <v>0.25838979353614577</v>
      </c>
      <c r="Y7" s="120">
        <v>6.9004043935636888E-2</v>
      </c>
      <c r="Z7" s="120">
        <v>0.39536517168919966</v>
      </c>
      <c r="AA7" s="120">
        <v>0.27724099083901765</v>
      </c>
      <c r="AB7" s="123" t="str">
        <v>Site C</v>
      </c>
    </row>
    <row r="8" spans="1:28" x14ac:dyDescent="0.3">
      <c r="A8" s="2" t="s">
        <v>148</v>
      </c>
      <c r="B8" s="8">
        <v>74</v>
      </c>
      <c r="C8" s="8">
        <v>39</v>
      </c>
      <c r="D8" s="8">
        <v>6</v>
      </c>
      <c r="I8" t="str">
        <v>Site B</v>
      </c>
      <c r="J8" s="116">
        <f t="shared" si="0"/>
        <v>70</v>
      </c>
      <c r="K8">
        <f t="shared" si="0"/>
        <v>49.6</v>
      </c>
      <c r="L8" s="115">
        <f t="shared" si="0"/>
        <v>8.4</v>
      </c>
      <c r="N8" s="116">
        <f>G4</f>
        <v>0.25</v>
      </c>
      <c r="O8" s="115">
        <f>LN(N8)</f>
        <v>-1.3862943611198906</v>
      </c>
      <c r="Q8" t="str">
        <v>Site B</v>
      </c>
      <c r="R8" s="116">
        <v>0</v>
      </c>
      <c r="S8">
        <v>4</v>
      </c>
      <c r="T8">
        <v>0</v>
      </c>
      <c r="U8" s="115">
        <v>1</v>
      </c>
      <c r="V8">
        <v>5</v>
      </c>
      <c r="X8" s="116">
        <v>0.59316108780067445</v>
      </c>
      <c r="Y8">
        <v>7.7590395690085761E-3</v>
      </c>
      <c r="Z8">
        <v>0.18774309721056112</v>
      </c>
      <c r="AA8">
        <v>0.21133677541975587</v>
      </c>
      <c r="AB8" s="122" t="str">
        <v>Site A</v>
      </c>
    </row>
    <row r="9" spans="1:28" x14ac:dyDescent="0.3">
      <c r="A9" s="2" t="s">
        <v>148</v>
      </c>
      <c r="B9" s="8">
        <v>73</v>
      </c>
      <c r="C9" s="8">
        <v>70</v>
      </c>
      <c r="D9" s="8">
        <v>7</v>
      </c>
      <c r="I9" t="str">
        <v>Site C</v>
      </c>
      <c r="J9" s="116">
        <f t="shared" si="0"/>
        <v>79.599999999999994</v>
      </c>
      <c r="K9">
        <f t="shared" si="0"/>
        <v>50.8</v>
      </c>
      <c r="L9" s="115">
        <f t="shared" si="0"/>
        <v>8.1999999999999993</v>
      </c>
      <c r="N9" s="116">
        <f>G5</f>
        <v>0.25</v>
      </c>
      <c r="O9" s="115">
        <f>LN(N9)</f>
        <v>-1.3862943611198906</v>
      </c>
      <c r="Q9" t="str">
        <v>Site C</v>
      </c>
      <c r="R9" s="116">
        <v>2</v>
      </c>
      <c r="S9">
        <v>2</v>
      </c>
      <c r="T9">
        <v>1</v>
      </c>
      <c r="U9" s="115">
        <v>0</v>
      </c>
      <c r="V9">
        <v>5</v>
      </c>
      <c r="X9" s="116">
        <v>0.51911318450225274</v>
      </c>
      <c r="Y9">
        <v>7.3801284581434369E-3</v>
      </c>
      <c r="Z9">
        <v>0.22093967153152008</v>
      </c>
      <c r="AA9">
        <v>0.25256701550808386</v>
      </c>
      <c r="AB9" s="122" t="str">
        <v>Site A</v>
      </c>
    </row>
    <row r="10" spans="1:28" x14ac:dyDescent="0.3">
      <c r="A10" s="2" t="s">
        <v>148</v>
      </c>
      <c r="B10" s="8">
        <v>66</v>
      </c>
      <c r="C10" s="8">
        <v>31</v>
      </c>
      <c r="D10" s="8">
        <v>10</v>
      </c>
      <c r="I10" t="str">
        <v>Site D</v>
      </c>
      <c r="J10" s="114">
        <f t="shared" si="0"/>
        <v>78.8</v>
      </c>
      <c r="K10" s="119">
        <f t="shared" si="0"/>
        <v>50</v>
      </c>
      <c r="L10" s="113">
        <f t="shared" si="0"/>
        <v>8.6</v>
      </c>
      <c r="N10" s="114">
        <f>G6</f>
        <v>0.25</v>
      </c>
      <c r="O10" s="113">
        <f>LN(N10)</f>
        <v>-1.3862943611198906</v>
      </c>
      <c r="Q10" t="str">
        <v>Site D</v>
      </c>
      <c r="R10" s="114">
        <v>2</v>
      </c>
      <c r="S10" s="119">
        <v>0</v>
      </c>
      <c r="T10" s="119">
        <v>1</v>
      </c>
      <c r="U10" s="113">
        <v>2</v>
      </c>
      <c r="V10">
        <v>5</v>
      </c>
      <c r="X10" s="116">
        <v>0.16169425663470827</v>
      </c>
      <c r="Y10">
        <v>0.31349650187185918</v>
      </c>
      <c r="Z10">
        <v>0.2279213488649337</v>
      </c>
      <c r="AA10">
        <v>0.29688789262849874</v>
      </c>
      <c r="AB10" s="122" t="str">
        <v>Site B</v>
      </c>
    </row>
    <row r="11" spans="1:28" x14ac:dyDescent="0.3">
      <c r="A11" s="2" t="s">
        <v>148</v>
      </c>
      <c r="B11" s="8">
        <v>60</v>
      </c>
      <c r="C11" s="8">
        <v>59</v>
      </c>
      <c r="D11" s="8">
        <v>9</v>
      </c>
      <c r="Q11" t="str">
        <v/>
      </c>
      <c r="R11">
        <v>6</v>
      </c>
      <c r="S11">
        <v>7</v>
      </c>
      <c r="T11">
        <v>3</v>
      </c>
      <c r="U11">
        <v>3</v>
      </c>
      <c r="V11">
        <v>19</v>
      </c>
      <c r="X11" s="116">
        <v>4.5570541761284666E-2</v>
      </c>
      <c r="Y11">
        <v>0.67276347997866048</v>
      </c>
      <c r="Z11">
        <v>0.15874436092837627</v>
      </c>
      <c r="AA11">
        <v>0.12292161733167857</v>
      </c>
      <c r="AB11" s="122" t="str">
        <v>Site B</v>
      </c>
    </row>
    <row r="12" spans="1:28" x14ac:dyDescent="0.3">
      <c r="A12" s="2" t="s">
        <v>148</v>
      </c>
      <c r="B12" s="8">
        <v>77</v>
      </c>
      <c r="C12" s="8">
        <v>49</v>
      </c>
      <c r="D12" s="8">
        <v>10</v>
      </c>
      <c r="I12" t="s">
        <v>232</v>
      </c>
      <c r="X12" s="116">
        <v>6.3207925803965781E-2</v>
      </c>
      <c r="Y12">
        <v>0.33169265734507236</v>
      </c>
      <c r="Z12">
        <v>0.31843532335277364</v>
      </c>
      <c r="AA12">
        <v>0.28666409349818817</v>
      </c>
      <c r="AB12" s="122" t="str">
        <v>Site B</v>
      </c>
    </row>
    <row r="13" spans="1:28" x14ac:dyDescent="0.3">
      <c r="A13" s="2" t="s">
        <v>196</v>
      </c>
      <c r="B13" s="8">
        <v>73</v>
      </c>
      <c r="C13" s="8">
        <v>46</v>
      </c>
      <c r="D13" s="8">
        <v>9</v>
      </c>
      <c r="Q13" t="s">
        <v>231</v>
      </c>
      <c r="X13" s="116">
        <v>3.5247011211051338E-2</v>
      </c>
      <c r="Y13">
        <v>0.81872534847482725</v>
      </c>
      <c r="Z13">
        <v>6.1723834483353252E-2</v>
      </c>
      <c r="AA13">
        <v>8.4303805830768005E-2</v>
      </c>
      <c r="AB13" s="122" t="str">
        <v>Site B</v>
      </c>
    </row>
    <row r="14" spans="1:28" x14ac:dyDescent="0.3">
      <c r="A14" s="2" t="s">
        <v>196</v>
      </c>
      <c r="B14" s="8">
        <v>84</v>
      </c>
      <c r="C14" s="8">
        <v>66</v>
      </c>
      <c r="D14" s="8">
        <v>7</v>
      </c>
      <c r="J14" s="8" t="s">
        <v>230</v>
      </c>
      <c r="K14" s="8">
        <f>J6</f>
        <v>76</v>
      </c>
      <c r="L14" s="8">
        <f>K6</f>
        <v>35</v>
      </c>
      <c r="M14" s="8">
        <f>L6</f>
        <v>10</v>
      </c>
      <c r="X14" s="116">
        <v>5.0603005389080911E-3</v>
      </c>
      <c r="Y14">
        <v>0.91553938828305215</v>
      </c>
      <c r="Z14">
        <v>3.4585819029196045E-2</v>
      </c>
      <c r="AA14">
        <v>4.4814492148843824E-2</v>
      </c>
      <c r="AB14" s="122" t="str">
        <v>Site B</v>
      </c>
    </row>
    <row r="15" spans="1:28" x14ac:dyDescent="0.3">
      <c r="A15" s="2" t="s">
        <v>196</v>
      </c>
      <c r="B15" s="8">
        <v>73</v>
      </c>
      <c r="C15" s="8">
        <v>61</v>
      </c>
      <c r="D15" s="8">
        <v>8</v>
      </c>
      <c r="I15" s="118" t="str">
        <f t="array" ref="I15:M18">[2]!LDACoeff(A4:D22,FALSE)</f>
        <v>Site A</v>
      </c>
      <c r="J15" s="120">
        <v>-174.83531594897769</v>
      </c>
      <c r="K15" s="120">
        <v>2.8215179519459586</v>
      </c>
      <c r="L15" s="120">
        <v>0.92453165187530839</v>
      </c>
      <c r="M15" s="117">
        <v>8.4170824837736227</v>
      </c>
      <c r="Q15" t="str">
        <f t="array" ref="Q15:U20">[2]!DASummary( Q6:V11)</f>
        <v/>
      </c>
      <c r="R15" t="str">
        <v>correct</v>
      </c>
      <c r="S15" t="str">
        <v>total</v>
      </c>
      <c r="T15" t="str">
        <v>% correct</v>
      </c>
      <c r="U15" t="str">
        <v>% missed</v>
      </c>
      <c r="X15" s="116">
        <v>0.28983627332023365</v>
      </c>
      <c r="Y15">
        <v>9.3330899895293112E-2</v>
      </c>
      <c r="Z15">
        <v>0.2748362236245438</v>
      </c>
      <c r="AA15">
        <v>0.34199660315992941</v>
      </c>
      <c r="AB15" s="122" t="str">
        <v>Site D</v>
      </c>
    </row>
    <row r="16" spans="1:28" x14ac:dyDescent="0.3">
      <c r="A16" s="2" t="s">
        <v>196</v>
      </c>
      <c r="B16" s="8">
        <v>80</v>
      </c>
      <c r="C16" s="8">
        <v>36</v>
      </c>
      <c r="D16" s="8">
        <v>9</v>
      </c>
      <c r="I16" s="116" t="str">
        <v>Site B</v>
      </c>
      <c r="J16">
        <v>-141.54324387278075</v>
      </c>
      <c r="K16">
        <v>2.4721450041042083</v>
      </c>
      <c r="L16">
        <v>0.9003410706887045</v>
      </c>
      <c r="M16" s="115">
        <v>7.7832643276318105</v>
      </c>
      <c r="Q16" t="str">
        <v>Site A</v>
      </c>
      <c r="R16" s="118">
        <v>2</v>
      </c>
      <c r="S16" s="120">
        <v>4</v>
      </c>
      <c r="T16" s="120">
        <v>0.5</v>
      </c>
      <c r="U16" s="117">
        <v>0.5</v>
      </c>
      <c r="X16" s="116">
        <v>0.13644314415604339</v>
      </c>
      <c r="Y16">
        <v>0.36018750584103326</v>
      </c>
      <c r="Z16">
        <v>0.23532372634621362</v>
      </c>
      <c r="AA16">
        <v>0.26804562365670981</v>
      </c>
      <c r="AB16" s="122" t="str">
        <v>Site B</v>
      </c>
    </row>
    <row r="17" spans="1:28" x14ac:dyDescent="0.3">
      <c r="A17" s="2" t="s">
        <v>196</v>
      </c>
      <c r="B17" s="8">
        <v>88</v>
      </c>
      <c r="C17" s="8">
        <v>45</v>
      </c>
      <c r="D17" s="8">
        <v>8</v>
      </c>
      <c r="I17" s="116" t="str">
        <v>Site C</v>
      </c>
      <c r="J17">
        <v>-166.05279476605989</v>
      </c>
      <c r="K17">
        <v>2.734621558246904</v>
      </c>
      <c r="L17">
        <v>0.94355554611857584</v>
      </c>
      <c r="M17" s="115">
        <v>8.1094014332734936</v>
      </c>
      <c r="Q17" t="str">
        <v>Site B</v>
      </c>
      <c r="R17" s="116">
        <v>4</v>
      </c>
      <c r="S17">
        <v>5</v>
      </c>
      <c r="T17">
        <v>0.8</v>
      </c>
      <c r="U17" s="115">
        <v>0.19999999999999996</v>
      </c>
      <c r="X17" s="116">
        <v>0.22865068640498781</v>
      </c>
      <c r="Y17">
        <v>2.8321874547128083E-2</v>
      </c>
      <c r="Z17">
        <v>0.41043978486685778</v>
      </c>
      <c r="AA17">
        <v>0.33258765418102632</v>
      </c>
      <c r="AB17" s="122" t="str">
        <v>Site C</v>
      </c>
    </row>
    <row r="18" spans="1:28" x14ac:dyDescent="0.3">
      <c r="A18" s="2" t="s">
        <v>194</v>
      </c>
      <c r="B18" s="8">
        <v>72</v>
      </c>
      <c r="C18" s="8">
        <v>60</v>
      </c>
      <c r="D18" s="8">
        <v>10</v>
      </c>
      <c r="I18" s="114" t="str">
        <v>Site D</v>
      </c>
      <c r="J18" s="119">
        <v>-166.38238890979073</v>
      </c>
      <c r="K18" s="119">
        <v>2.7252560993398278</v>
      </c>
      <c r="L18" s="119">
        <v>0.94410491419046649</v>
      </c>
      <c r="M18" s="113">
        <v>8.2336455211720629</v>
      </c>
      <c r="Q18" t="str">
        <v>Site C</v>
      </c>
      <c r="R18" s="116">
        <v>1</v>
      </c>
      <c r="S18">
        <v>5</v>
      </c>
      <c r="T18">
        <v>0.2</v>
      </c>
      <c r="U18" s="115">
        <v>0.8</v>
      </c>
      <c r="X18" s="116">
        <v>9.3043667951691916E-2</v>
      </c>
      <c r="Y18">
        <v>0.32206233476949025</v>
      </c>
      <c r="Z18">
        <v>0.29037190097551124</v>
      </c>
      <c r="AA18">
        <v>0.29452209630330667</v>
      </c>
      <c r="AB18" s="122" t="str">
        <v>Site B</v>
      </c>
    </row>
    <row r="19" spans="1:28" x14ac:dyDescent="0.3">
      <c r="A19" s="2" t="s">
        <v>194</v>
      </c>
      <c r="B19" s="8">
        <v>77</v>
      </c>
      <c r="C19" s="8">
        <v>55</v>
      </c>
      <c r="D19" s="8">
        <v>9</v>
      </c>
      <c r="Q19" t="str">
        <v>Site D</v>
      </c>
      <c r="R19" s="114">
        <v>2</v>
      </c>
      <c r="S19" s="119">
        <v>5</v>
      </c>
      <c r="T19" s="119">
        <v>0.4</v>
      </c>
      <c r="U19" s="113">
        <v>0.6</v>
      </c>
      <c r="X19" s="116">
        <v>0.34590957279407181</v>
      </c>
      <c r="Y19">
        <v>0.10080513647744428</v>
      </c>
      <c r="Z19">
        <v>0.26846426553684788</v>
      </c>
      <c r="AA19">
        <v>0.28482102519163599</v>
      </c>
      <c r="AB19" s="122" t="str">
        <v>Site A</v>
      </c>
    </row>
    <row r="20" spans="1:28" x14ac:dyDescent="0.3">
      <c r="A20" s="2" t="s">
        <v>194</v>
      </c>
      <c r="B20" s="8">
        <v>78</v>
      </c>
      <c r="C20" s="8">
        <v>30</v>
      </c>
      <c r="D20" s="8">
        <v>10</v>
      </c>
      <c r="I20" t="s">
        <v>229</v>
      </c>
      <c r="Q20" t="str">
        <v/>
      </c>
      <c r="R20">
        <v>9</v>
      </c>
      <c r="S20">
        <v>19</v>
      </c>
      <c r="T20">
        <v>0.47368421052631576</v>
      </c>
      <c r="U20">
        <v>0.52631578947368429</v>
      </c>
      <c r="X20" s="116">
        <v>0.4548876514829655</v>
      </c>
      <c r="Y20">
        <v>1.2282576731156604E-2</v>
      </c>
      <c r="Z20">
        <v>0.28438127147217213</v>
      </c>
      <c r="AA20">
        <v>0.24844850031370588</v>
      </c>
      <c r="AB20" s="122" t="str">
        <v>Site A</v>
      </c>
    </row>
    <row r="21" spans="1:28" x14ac:dyDescent="0.3">
      <c r="A21" s="2" t="s">
        <v>194</v>
      </c>
      <c r="B21" s="8">
        <v>80</v>
      </c>
      <c r="C21" s="8">
        <v>60</v>
      </c>
      <c r="D21" s="8">
        <v>5</v>
      </c>
      <c r="X21" s="116">
        <v>0.15177093156570892</v>
      </c>
      <c r="Y21">
        <v>0.21485765818934788</v>
      </c>
      <c r="Z21">
        <v>0.27395841947824479</v>
      </c>
      <c r="AA21">
        <v>0.35941299076669853</v>
      </c>
      <c r="AB21" s="122" t="str">
        <v>Site D</v>
      </c>
    </row>
    <row r="22" spans="1:28" x14ac:dyDescent="0.3">
      <c r="A22" s="2" t="s">
        <v>194</v>
      </c>
      <c r="B22" s="8">
        <v>87</v>
      </c>
      <c r="C22" s="8">
        <v>45</v>
      </c>
      <c r="D22" s="8">
        <v>9</v>
      </c>
      <c r="I22" t="s">
        <v>67</v>
      </c>
      <c r="J22" s="133">
        <f>[2]!BOXTEST(A4:D22)</f>
        <v>0.41513359717335097</v>
      </c>
      <c r="X22" s="116">
        <v>0.2190607977920247</v>
      </c>
      <c r="Y22">
        <v>0.11499159383674788</v>
      </c>
      <c r="Z22">
        <v>0.31672468779106255</v>
      </c>
      <c r="AA22">
        <v>0.34922292058016491</v>
      </c>
      <c r="AB22" s="122" t="str">
        <v>Site D</v>
      </c>
    </row>
    <row r="23" spans="1:28" x14ac:dyDescent="0.3">
      <c r="X23" s="116">
        <v>0.36982043454453051</v>
      </c>
      <c r="Y23">
        <v>0.13296696625092835</v>
      </c>
      <c r="Z23">
        <v>0.22397319342473088</v>
      </c>
      <c r="AA23">
        <v>0.27323940577981021</v>
      </c>
      <c r="AB23" s="122" t="str">
        <v>Site A</v>
      </c>
    </row>
    <row r="24" spans="1:28" x14ac:dyDescent="0.3">
      <c r="X24" s="116">
        <v>0.1000390545926591</v>
      </c>
      <c r="Y24">
        <v>0.2058754249522331</v>
      </c>
      <c r="Z24">
        <v>0.41964064788142985</v>
      </c>
      <c r="AA24">
        <v>0.27444487257367789</v>
      </c>
      <c r="AB24" s="122" t="str">
        <v>Site C</v>
      </c>
    </row>
    <row r="25" spans="1:28" x14ac:dyDescent="0.3">
      <c r="X25" s="114">
        <v>0.4945081737684271</v>
      </c>
      <c r="Y25" s="119">
        <v>1.0046755389643032E-2</v>
      </c>
      <c r="Z25" s="119">
        <v>0.24790469992877562</v>
      </c>
      <c r="AA25" s="119">
        <v>0.24754037091315426</v>
      </c>
      <c r="AB25" s="121" t="str">
        <v>Site A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902FD-7B50-4768-94B3-85E397CBC4D4}">
  <dimension ref="A1:Y26"/>
  <sheetViews>
    <sheetView workbookViewId="0">
      <selection activeCell="N30" sqref="N30"/>
    </sheetView>
  </sheetViews>
  <sheetFormatPr defaultRowHeight="14.4" x14ac:dyDescent="0.3"/>
  <sheetData>
    <row r="1" spans="1:25" x14ac:dyDescent="0.3">
      <c r="A1" t="s">
        <v>180</v>
      </c>
    </row>
    <row r="2" spans="1:25" x14ac:dyDescent="0.3">
      <c r="B2" s="8" t="s">
        <v>178</v>
      </c>
      <c r="C2" s="8" t="s">
        <v>177</v>
      </c>
      <c r="D2" s="8" t="s">
        <v>176</v>
      </c>
      <c r="F2" s="23" t="s">
        <v>228</v>
      </c>
      <c r="I2" t="s">
        <v>240</v>
      </c>
    </row>
    <row r="3" spans="1:25" x14ac:dyDescent="0.3">
      <c r="A3" s="2" t="s">
        <v>155</v>
      </c>
      <c r="B3" s="8">
        <v>76</v>
      </c>
      <c r="C3" s="8">
        <v>35</v>
      </c>
      <c r="D3" s="8">
        <v>10</v>
      </c>
      <c r="G3" s="8" t="s">
        <v>226</v>
      </c>
    </row>
    <row r="4" spans="1:25" x14ac:dyDescent="0.3">
      <c r="A4" s="2" t="s">
        <v>155</v>
      </c>
      <c r="B4" s="8">
        <v>85</v>
      </c>
      <c r="C4" s="8">
        <v>46</v>
      </c>
      <c r="D4" s="8">
        <v>6</v>
      </c>
      <c r="F4" s="2" t="s">
        <v>155</v>
      </c>
      <c r="G4" s="8">
        <f>1/4</f>
        <v>0.25</v>
      </c>
      <c r="I4" t="s">
        <v>175</v>
      </c>
      <c r="N4" t="s">
        <v>236</v>
      </c>
      <c r="U4" t="s">
        <v>235</v>
      </c>
    </row>
    <row r="5" spans="1:25" x14ac:dyDescent="0.3">
      <c r="A5" s="2" t="s">
        <v>155</v>
      </c>
      <c r="B5" s="8">
        <v>87</v>
      </c>
      <c r="C5" s="8">
        <v>37</v>
      </c>
      <c r="D5" s="8">
        <v>10</v>
      </c>
      <c r="F5" s="2" t="s">
        <v>148</v>
      </c>
      <c r="G5" s="8">
        <f>1/4</f>
        <v>0.25</v>
      </c>
    </row>
    <row r="6" spans="1:25" x14ac:dyDescent="0.3">
      <c r="A6" s="2" t="s">
        <v>155</v>
      </c>
      <c r="B6" s="8">
        <v>86</v>
      </c>
      <c r="C6" s="8">
        <v>48</v>
      </c>
      <c r="D6" s="8">
        <v>10</v>
      </c>
      <c r="F6" s="2" t="s">
        <v>196</v>
      </c>
      <c r="G6" s="8">
        <f>1/4</f>
        <v>0.25</v>
      </c>
      <c r="J6" s="8" t="str">
        <f>B2</f>
        <v>Ele. 1</v>
      </c>
      <c r="K6" s="8" t="str">
        <f>C2</f>
        <v>Ele. 2</v>
      </c>
      <c r="L6" s="8" t="str">
        <f>D2</f>
        <v>Ele. 3</v>
      </c>
      <c r="N6" s="8" t="str">
        <f t="array" ref="N6:S11">[2]!DAClassification(A3:D22,J14:J17,FALSE)</f>
        <v/>
      </c>
      <c r="O6" s="8" t="str">
        <v>Site A</v>
      </c>
      <c r="P6" s="8" t="str">
        <v>Site B</v>
      </c>
      <c r="Q6" s="8" t="str">
        <v>Site C</v>
      </c>
      <c r="R6" s="8" t="str">
        <v>Site D</v>
      </c>
      <c r="S6" s="8" t="str">
        <v/>
      </c>
      <c r="U6" s="8" t="str">
        <f t="array" ref="U6:Y26">[2]!QDAPred(B3:D22,A3:D22,J14:J17,TRUE)</f>
        <v>Site A</v>
      </c>
      <c r="V6" s="8" t="str">
        <v>Site B</v>
      </c>
      <c r="W6" s="8" t="str">
        <v>Site C</v>
      </c>
      <c r="X6" s="8" t="str">
        <v>Site D</v>
      </c>
      <c r="Y6" s="8" t="str">
        <v>category</v>
      </c>
    </row>
    <row r="7" spans="1:25" x14ac:dyDescent="0.3">
      <c r="A7" s="2" t="s">
        <v>155</v>
      </c>
      <c r="B7" s="8">
        <v>72</v>
      </c>
      <c r="C7" s="8">
        <v>47</v>
      </c>
      <c r="D7" s="8">
        <v>10</v>
      </c>
      <c r="F7" s="2" t="s">
        <v>194</v>
      </c>
      <c r="G7" s="8">
        <f>1/4</f>
        <v>0.25</v>
      </c>
      <c r="I7" t="str">
        <f t="array" ref="I7:I10">[2]!ExtractUnique(A3:D22,"")</f>
        <v>Site A</v>
      </c>
      <c r="J7" s="118">
        <f t="shared" ref="J7:L10" si="0">AVERAGEIF($A$3:$A$22,$I7,B$3:B$22)</f>
        <v>81.2</v>
      </c>
      <c r="K7" s="120">
        <f t="shared" si="0"/>
        <v>42.6</v>
      </c>
      <c r="L7" s="117">
        <f t="shared" si="0"/>
        <v>9.1999999999999993</v>
      </c>
      <c r="N7" t="str">
        <v>Site A</v>
      </c>
      <c r="O7" s="118">
        <v>5</v>
      </c>
      <c r="P7" s="120">
        <v>0</v>
      </c>
      <c r="Q7" s="120">
        <v>0</v>
      </c>
      <c r="R7" s="117">
        <v>0</v>
      </c>
      <c r="S7">
        <v>5</v>
      </c>
      <c r="U7" s="118">
        <v>0.54407961137707739</v>
      </c>
      <c r="V7" s="120">
        <v>0.15909096171531817</v>
      </c>
      <c r="W7" s="120">
        <v>4.7016463762023426E-34</v>
      </c>
      <c r="X7" s="120">
        <v>0.29682942690760455</v>
      </c>
      <c r="Y7" s="123" t="str">
        <v>Site A</v>
      </c>
    </row>
    <row r="8" spans="1:25" x14ac:dyDescent="0.3">
      <c r="A8" s="2" t="s">
        <v>148</v>
      </c>
      <c r="B8" s="8">
        <v>74</v>
      </c>
      <c r="C8" s="8">
        <v>39</v>
      </c>
      <c r="D8" s="8">
        <v>6</v>
      </c>
      <c r="I8" t="str">
        <v>Site B</v>
      </c>
      <c r="J8" s="116">
        <f t="shared" si="0"/>
        <v>70</v>
      </c>
      <c r="K8">
        <f t="shared" si="0"/>
        <v>49.6</v>
      </c>
      <c r="L8" s="115">
        <f t="shared" si="0"/>
        <v>8.4</v>
      </c>
      <c r="N8" t="str">
        <v>Site B</v>
      </c>
      <c r="O8" s="116">
        <v>0</v>
      </c>
      <c r="P8">
        <v>2</v>
      </c>
      <c r="Q8">
        <v>1</v>
      </c>
      <c r="R8" s="115">
        <v>2</v>
      </c>
      <c r="S8">
        <v>5</v>
      </c>
      <c r="U8" s="116">
        <v>0.51631885363895946</v>
      </c>
      <c r="V8">
        <v>6.4081311646970562E-2</v>
      </c>
      <c r="W8">
        <v>0</v>
      </c>
      <c r="X8">
        <v>0.41959983471407009</v>
      </c>
      <c r="Y8" s="122" t="str">
        <v>Site A</v>
      </c>
    </row>
    <row r="9" spans="1:25" x14ac:dyDescent="0.3">
      <c r="A9" s="2" t="s">
        <v>148</v>
      </c>
      <c r="B9" s="8">
        <v>73</v>
      </c>
      <c r="C9" s="8">
        <v>70</v>
      </c>
      <c r="D9" s="8">
        <v>7</v>
      </c>
      <c r="I9" t="str">
        <v>Site C</v>
      </c>
      <c r="J9" s="116">
        <f t="shared" si="0"/>
        <v>79.599999999999994</v>
      </c>
      <c r="K9">
        <f t="shared" si="0"/>
        <v>50.8</v>
      </c>
      <c r="L9" s="115">
        <f t="shared" si="0"/>
        <v>8.1999999999999993</v>
      </c>
      <c r="N9" t="str">
        <v>Site C</v>
      </c>
      <c r="O9" s="116">
        <v>0</v>
      </c>
      <c r="P9">
        <v>0</v>
      </c>
      <c r="Q9">
        <v>5</v>
      </c>
      <c r="R9" s="115">
        <v>0</v>
      </c>
      <c r="S9">
        <v>5</v>
      </c>
      <c r="U9" s="116">
        <v>0.77896331380155903</v>
      </c>
      <c r="V9">
        <v>7.8224631064202094E-3</v>
      </c>
      <c r="W9">
        <v>6.241593065223997E-198</v>
      </c>
      <c r="X9">
        <v>0.21321422309202076</v>
      </c>
      <c r="Y9" s="122" t="str">
        <v>Site A</v>
      </c>
    </row>
    <row r="10" spans="1:25" x14ac:dyDescent="0.3">
      <c r="A10" s="2" t="s">
        <v>148</v>
      </c>
      <c r="B10" s="8">
        <v>66</v>
      </c>
      <c r="C10" s="8">
        <v>31</v>
      </c>
      <c r="D10" s="8">
        <v>10</v>
      </c>
      <c r="I10" t="str">
        <v>Site D</v>
      </c>
      <c r="J10" s="114">
        <f t="shared" si="0"/>
        <v>78.8</v>
      </c>
      <c r="K10" s="119">
        <f t="shared" si="0"/>
        <v>50</v>
      </c>
      <c r="L10" s="113">
        <f t="shared" si="0"/>
        <v>8.6</v>
      </c>
      <c r="N10" t="str">
        <v>Site D</v>
      </c>
      <c r="O10" s="114">
        <v>1</v>
      </c>
      <c r="P10" s="119">
        <v>0</v>
      </c>
      <c r="Q10" s="119">
        <v>0</v>
      </c>
      <c r="R10" s="113">
        <v>4</v>
      </c>
      <c r="S10">
        <v>5</v>
      </c>
      <c r="U10" s="116">
        <v>0.8008085755990314</v>
      </c>
      <c r="V10">
        <v>1.5221309952037916E-2</v>
      </c>
      <c r="W10">
        <v>0</v>
      </c>
      <c r="X10">
        <v>0.18397011444893074</v>
      </c>
      <c r="Y10" s="122" t="str">
        <v>Site A</v>
      </c>
    </row>
    <row r="11" spans="1:25" x14ac:dyDescent="0.3">
      <c r="A11" s="2" t="s">
        <v>148</v>
      </c>
      <c r="B11" s="8">
        <v>60</v>
      </c>
      <c r="C11" s="8">
        <v>59</v>
      </c>
      <c r="D11" s="8">
        <v>9</v>
      </c>
      <c r="N11" t="str">
        <v/>
      </c>
      <c r="O11">
        <v>6</v>
      </c>
      <c r="P11">
        <v>2</v>
      </c>
      <c r="Q11">
        <v>6</v>
      </c>
      <c r="R11">
        <v>6</v>
      </c>
      <c r="S11">
        <v>20</v>
      </c>
      <c r="U11" s="116">
        <v>0.38908895471141502</v>
      </c>
      <c r="V11">
        <v>0.28998625497174335</v>
      </c>
      <c r="W11">
        <v>2.2333745220938183E-101</v>
      </c>
      <c r="X11">
        <v>0.32092479031684162</v>
      </c>
      <c r="Y11" s="122" t="str">
        <v>Site A</v>
      </c>
    </row>
    <row r="12" spans="1:25" x14ac:dyDescent="0.3">
      <c r="A12" s="2" t="s">
        <v>148</v>
      </c>
      <c r="B12" s="8">
        <v>77</v>
      </c>
      <c r="C12" s="8">
        <v>49</v>
      </c>
      <c r="D12" s="8">
        <v>10</v>
      </c>
      <c r="I12" t="s">
        <v>237</v>
      </c>
      <c r="U12" s="116">
        <v>0.17151062484929094</v>
      </c>
      <c r="V12">
        <v>0.80274446408883782</v>
      </c>
      <c r="W12">
        <v>0</v>
      </c>
      <c r="X12">
        <v>2.5744911061871292E-2</v>
      </c>
      <c r="Y12" s="122" t="str">
        <v>Site B</v>
      </c>
    </row>
    <row r="13" spans="1:25" x14ac:dyDescent="0.3">
      <c r="A13" s="2" t="s">
        <v>196</v>
      </c>
      <c r="B13" s="8">
        <v>73</v>
      </c>
      <c r="C13" s="8">
        <v>46</v>
      </c>
      <c r="D13" s="8">
        <v>9</v>
      </c>
      <c r="N13" t="s">
        <v>231</v>
      </c>
      <c r="U13" s="116">
        <v>5.7897228637479736E-5</v>
      </c>
      <c r="V13">
        <v>0.47722566395465532</v>
      </c>
      <c r="W13">
        <v>1.3892176018812863E-22</v>
      </c>
      <c r="X13">
        <v>0.52271643881670726</v>
      </c>
      <c r="Y13" s="122" t="str">
        <v>Site D</v>
      </c>
    </row>
    <row r="14" spans="1:25" x14ac:dyDescent="0.3">
      <c r="A14" s="2" t="s">
        <v>196</v>
      </c>
      <c r="B14" s="8">
        <v>84</v>
      </c>
      <c r="C14" s="8">
        <v>66</v>
      </c>
      <c r="D14" s="8">
        <v>7</v>
      </c>
      <c r="I14" t="str">
        <f>I7</f>
        <v>Site A</v>
      </c>
      <c r="J14" s="123">
        <f>G4</f>
        <v>0.25</v>
      </c>
      <c r="U14" s="116">
        <v>6.7574360370458608E-2</v>
      </c>
      <c r="V14">
        <v>0.92936999803850584</v>
      </c>
      <c r="W14">
        <v>2.0813529777233011E-8</v>
      </c>
      <c r="X14">
        <v>3.0556207775059032E-3</v>
      </c>
      <c r="Y14" s="122" t="str">
        <v>Site B</v>
      </c>
    </row>
    <row r="15" spans="1:25" x14ac:dyDescent="0.3">
      <c r="A15" s="2" t="s">
        <v>196</v>
      </c>
      <c r="B15" s="8">
        <v>73</v>
      </c>
      <c r="C15" s="8">
        <v>61</v>
      </c>
      <c r="D15" s="8">
        <v>8</v>
      </c>
      <c r="I15" t="str">
        <f>I8</f>
        <v>Site B</v>
      </c>
      <c r="J15" s="122">
        <f>G5</f>
        <v>0.25</v>
      </c>
      <c r="N15" s="8" t="str">
        <f t="array" ref="N15:R20">[2]!DASummary(N6:S11)</f>
        <v/>
      </c>
      <c r="O15" s="8" t="str">
        <v>correct</v>
      </c>
      <c r="P15" s="8" t="str">
        <v>total</v>
      </c>
      <c r="Q15" s="8" t="str">
        <v>% correct</v>
      </c>
      <c r="R15" s="8" t="str">
        <v>% missed</v>
      </c>
      <c r="U15" s="116">
        <v>5.6575271241520396E-4</v>
      </c>
      <c r="V15">
        <v>0.42943961288449856</v>
      </c>
      <c r="W15">
        <v>0.56753259620451524</v>
      </c>
      <c r="X15">
        <v>2.4620381985710677E-3</v>
      </c>
      <c r="Y15" s="122" t="str">
        <v>Site C</v>
      </c>
    </row>
    <row r="16" spans="1:25" x14ac:dyDescent="0.3">
      <c r="A16" s="2" t="s">
        <v>196</v>
      </c>
      <c r="B16" s="8">
        <v>80</v>
      </c>
      <c r="C16" s="8">
        <v>36</v>
      </c>
      <c r="D16" s="8">
        <v>9</v>
      </c>
      <c r="I16" t="str">
        <f>I9</f>
        <v>Site C</v>
      </c>
      <c r="J16" s="122">
        <f>G6</f>
        <v>0.25</v>
      </c>
      <c r="N16" t="str">
        <v>Site A</v>
      </c>
      <c r="O16" s="118">
        <v>5</v>
      </c>
      <c r="P16" s="120">
        <v>5</v>
      </c>
      <c r="Q16" s="120">
        <v>1</v>
      </c>
      <c r="R16" s="117">
        <v>0</v>
      </c>
      <c r="U16" s="116">
        <v>0.39097176025396635</v>
      </c>
      <c r="V16">
        <v>0.10051324835000092</v>
      </c>
      <c r="W16">
        <v>4.6848420313844555E-208</v>
      </c>
      <c r="X16">
        <v>0.50851499139603273</v>
      </c>
      <c r="Y16" s="122" t="str">
        <v>Site D</v>
      </c>
    </row>
    <row r="17" spans="1:25" x14ac:dyDescent="0.3">
      <c r="A17" s="2" t="s">
        <v>196</v>
      </c>
      <c r="B17" s="8">
        <v>88</v>
      </c>
      <c r="C17" s="8">
        <v>45</v>
      </c>
      <c r="D17" s="8">
        <v>8</v>
      </c>
      <c r="I17" t="str">
        <f>I10</f>
        <v>Site D</v>
      </c>
      <c r="J17" s="121">
        <f>G7</f>
        <v>0.25</v>
      </c>
      <c r="N17" t="str">
        <v>Site B</v>
      </c>
      <c r="O17" s="116">
        <v>2</v>
      </c>
      <c r="P17">
        <v>5</v>
      </c>
      <c r="Q17">
        <v>0.4</v>
      </c>
      <c r="R17" s="115">
        <v>0.6</v>
      </c>
      <c r="U17" s="116">
        <v>8.5044904084935855E-2</v>
      </c>
      <c r="V17">
        <v>6.7482929989520171E-2</v>
      </c>
      <c r="W17">
        <v>0.79602950571065301</v>
      </c>
      <c r="X17">
        <v>5.1442660214890953E-2</v>
      </c>
      <c r="Y17" s="122" t="str">
        <v>Site C</v>
      </c>
    </row>
    <row r="18" spans="1:25" x14ac:dyDescent="0.3">
      <c r="A18" s="2" t="s">
        <v>194</v>
      </c>
      <c r="B18" s="8">
        <v>72</v>
      </c>
      <c r="C18" s="8">
        <v>60</v>
      </c>
      <c r="D18" s="8">
        <v>10</v>
      </c>
      <c r="N18" t="str">
        <v>Site C</v>
      </c>
      <c r="O18" s="116">
        <v>5</v>
      </c>
      <c r="P18">
        <v>5</v>
      </c>
      <c r="Q18">
        <v>1</v>
      </c>
      <c r="R18" s="115">
        <v>0</v>
      </c>
      <c r="U18" s="116">
        <v>1.042758976262127E-4</v>
      </c>
      <c r="V18">
        <v>4.3889960206858715E-3</v>
      </c>
      <c r="W18">
        <v>0.98110841874824506</v>
      </c>
      <c r="X18">
        <v>1.4398309333442912E-2</v>
      </c>
      <c r="Y18" s="122" t="str">
        <v>Site C</v>
      </c>
    </row>
    <row r="19" spans="1:25" x14ac:dyDescent="0.3">
      <c r="A19" s="2" t="s">
        <v>194</v>
      </c>
      <c r="B19" s="8">
        <v>77</v>
      </c>
      <c r="C19" s="8">
        <v>55</v>
      </c>
      <c r="D19" s="8">
        <v>9</v>
      </c>
      <c r="I19" t="s">
        <v>229</v>
      </c>
      <c r="N19" t="str">
        <v>Site D</v>
      </c>
      <c r="O19" s="114">
        <v>4</v>
      </c>
      <c r="P19" s="119">
        <v>5</v>
      </c>
      <c r="Q19" s="119">
        <v>0.8</v>
      </c>
      <c r="R19" s="113">
        <v>0.19999999999999996</v>
      </c>
      <c r="U19" s="116">
        <v>7.3543785821486823E-4</v>
      </c>
      <c r="V19">
        <v>4.2087973067913273E-2</v>
      </c>
      <c r="W19">
        <v>0.9082639187213708</v>
      </c>
      <c r="X19">
        <v>4.8912670352501034E-2</v>
      </c>
      <c r="Y19" s="122" t="str">
        <v>Site C</v>
      </c>
    </row>
    <row r="20" spans="1:25" x14ac:dyDescent="0.3">
      <c r="A20" s="2" t="s">
        <v>194</v>
      </c>
      <c r="B20" s="8">
        <v>78</v>
      </c>
      <c r="C20" s="8">
        <v>30</v>
      </c>
      <c r="D20" s="8">
        <v>10</v>
      </c>
      <c r="N20" t="str">
        <v/>
      </c>
      <c r="O20">
        <v>16</v>
      </c>
      <c r="P20">
        <v>20</v>
      </c>
      <c r="Q20">
        <v>0.8</v>
      </c>
      <c r="R20">
        <v>0.19999999999999996</v>
      </c>
      <c r="U20" s="116">
        <v>9.1503614313214299E-2</v>
      </c>
      <c r="V20">
        <v>1.4462368831714012E-2</v>
      </c>
      <c r="W20">
        <v>0.83528868382475818</v>
      </c>
      <c r="X20">
        <v>5.8745333030313471E-2</v>
      </c>
      <c r="Y20" s="122" t="str">
        <v>Site C</v>
      </c>
    </row>
    <row r="21" spans="1:25" x14ac:dyDescent="0.3">
      <c r="A21" s="2" t="s">
        <v>194</v>
      </c>
      <c r="B21" s="8">
        <v>80</v>
      </c>
      <c r="C21" s="8">
        <v>60</v>
      </c>
      <c r="D21" s="8">
        <v>5</v>
      </c>
      <c r="I21" t="s">
        <v>67</v>
      </c>
      <c r="J21" s="133">
        <f>[2]!BOXTEST(A3:D22)</f>
        <v>0.40665308552243851</v>
      </c>
      <c r="U21" s="116">
        <v>7.8766323055604825E-2</v>
      </c>
      <c r="V21">
        <v>1.4846866549685462E-3</v>
      </c>
      <c r="W21">
        <v>0.89898342754180227</v>
      </c>
      <c r="X21">
        <v>2.0765562747624446E-2</v>
      </c>
      <c r="Y21" s="122" t="str">
        <v>Site C</v>
      </c>
    </row>
    <row r="22" spans="1:25" x14ac:dyDescent="0.3">
      <c r="A22" s="2" t="s">
        <v>194</v>
      </c>
      <c r="B22" s="8">
        <v>87</v>
      </c>
      <c r="C22" s="8">
        <v>45</v>
      </c>
      <c r="D22" s="8">
        <v>9</v>
      </c>
      <c r="U22" s="116">
        <v>1.0772612652883748E-2</v>
      </c>
      <c r="V22">
        <v>0.38744092024932997</v>
      </c>
      <c r="W22">
        <v>3.8128916521141289E-304</v>
      </c>
      <c r="X22">
        <v>0.60178646709778638</v>
      </c>
      <c r="Y22" s="122" t="str">
        <v>Site D</v>
      </c>
    </row>
    <row r="23" spans="1:25" x14ac:dyDescent="0.3">
      <c r="U23" s="116">
        <v>0.11961764609577606</v>
      </c>
      <c r="V23">
        <v>0.19263580744722239</v>
      </c>
      <c r="W23">
        <v>1.0010118920448328E-68</v>
      </c>
      <c r="X23">
        <v>0.68774654645700151</v>
      </c>
      <c r="Y23" s="122" t="str">
        <v>Site D</v>
      </c>
    </row>
    <row r="24" spans="1:25" x14ac:dyDescent="0.3">
      <c r="U24" s="116">
        <v>0.35912118935261034</v>
      </c>
      <c r="V24">
        <v>0.18535700484185047</v>
      </c>
      <c r="W24">
        <v>3.4945833595349005E-18</v>
      </c>
      <c r="X24">
        <v>0.45552180580553925</v>
      </c>
      <c r="Y24" s="122" t="str">
        <v>Site D</v>
      </c>
    </row>
    <row r="25" spans="1:25" x14ac:dyDescent="0.3">
      <c r="U25" s="116">
        <v>2.1468717158537886E-2</v>
      </c>
      <c r="V25">
        <v>0.22391124274284993</v>
      </c>
      <c r="W25">
        <v>0</v>
      </c>
      <c r="X25">
        <v>0.75462004009861217</v>
      </c>
      <c r="Y25" s="122" t="str">
        <v>Site D</v>
      </c>
    </row>
    <row r="26" spans="1:25" x14ac:dyDescent="0.3">
      <c r="U26" s="114">
        <v>0.80514052781162981</v>
      </c>
      <c r="V26" s="119">
        <v>1.2311425886270023E-2</v>
      </c>
      <c r="W26" s="119">
        <v>2.0128686006655681E-82</v>
      </c>
      <c r="X26" s="119">
        <v>0.1825480463021002</v>
      </c>
      <c r="Y26" s="121" t="str">
        <v>Site A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838D9-C678-4CF0-A63D-8CD56B9F07C8}">
  <dimension ref="A1:N35"/>
  <sheetViews>
    <sheetView workbookViewId="0">
      <selection activeCell="N30" sqref="N30"/>
    </sheetView>
  </sheetViews>
  <sheetFormatPr defaultRowHeight="14.4" x14ac:dyDescent="0.3"/>
  <cols>
    <col min="5" max="5" width="5.33203125" customWidth="1"/>
  </cols>
  <sheetData>
    <row r="1" spans="1:14" x14ac:dyDescent="0.3">
      <c r="A1" t="s">
        <v>180</v>
      </c>
      <c r="G1" t="s">
        <v>131</v>
      </c>
    </row>
    <row r="2" spans="1:14" x14ac:dyDescent="0.3">
      <c r="A2" s="2" t="s">
        <v>179</v>
      </c>
      <c r="B2" s="8" t="s">
        <v>178</v>
      </c>
      <c r="C2" s="8" t="s">
        <v>177</v>
      </c>
      <c r="D2" s="8" t="s">
        <v>176</v>
      </c>
      <c r="E2" s="8"/>
      <c r="F2" s="2" t="s">
        <v>250</v>
      </c>
      <c r="G2">
        <v>73</v>
      </c>
      <c r="H2">
        <v>50</v>
      </c>
      <c r="I2">
        <v>10</v>
      </c>
      <c r="K2" t="s">
        <v>249</v>
      </c>
      <c r="N2" s="21"/>
    </row>
    <row r="3" spans="1:14" x14ac:dyDescent="0.3">
      <c r="A3" s="2" t="s">
        <v>155</v>
      </c>
      <c r="B3" s="8">
        <v>76</v>
      </c>
      <c r="C3" s="8">
        <v>35</v>
      </c>
      <c r="D3" s="8">
        <v>10</v>
      </c>
      <c r="K3" s="2" t="s">
        <v>155</v>
      </c>
      <c r="L3" s="21" cm="1">
        <f t="array" ref="L3">SQRT(MMULT(G13:I13,MMULT(MINVERSE($G$20:$I$22),TRANSPOSE(G13:I13))))</f>
        <v>1.3476270484341264</v>
      </c>
      <c r="N3" s="21"/>
    </row>
    <row r="4" spans="1:14" x14ac:dyDescent="0.3">
      <c r="A4" s="2" t="s">
        <v>155</v>
      </c>
      <c r="B4" s="8">
        <v>85</v>
      </c>
      <c r="C4" s="8">
        <v>46</v>
      </c>
      <c r="D4" s="8">
        <v>6</v>
      </c>
      <c r="K4" s="2" t="s">
        <v>148</v>
      </c>
      <c r="L4" s="21" cm="1">
        <f t="array" ref="L4">SQRT(MMULT(G14:I14,MMULT(MINVERSE($G$20:$I$22),TRANSPOSE(G14:I14))))</f>
        <v>1.3314061361218914</v>
      </c>
      <c r="M4" s="21"/>
      <c r="N4" s="21"/>
    </row>
    <row r="5" spans="1:14" x14ac:dyDescent="0.3">
      <c r="A5" s="2" t="s">
        <v>155</v>
      </c>
      <c r="B5" s="8">
        <v>87</v>
      </c>
      <c r="C5" s="8">
        <v>37</v>
      </c>
      <c r="D5" s="8">
        <v>10</v>
      </c>
      <c r="E5" s="8"/>
      <c r="G5" t="s">
        <v>175</v>
      </c>
      <c r="K5" s="2" t="s">
        <v>196</v>
      </c>
      <c r="L5" s="21" cm="1">
        <f t="array" ref="L5">SQRT(MMULT(G15:I15,MMULT(MINVERSE($G$20:$I$22),TRANSPOSE(G15:I15))))</f>
        <v>1.3575635599598563</v>
      </c>
      <c r="M5" s="21"/>
      <c r="N5" s="21"/>
    </row>
    <row r="6" spans="1:14" ht="15.6" x14ac:dyDescent="0.35">
      <c r="A6" s="2" t="s">
        <v>155</v>
      </c>
      <c r="B6" s="8">
        <v>86</v>
      </c>
      <c r="C6" s="8">
        <v>48</v>
      </c>
      <c r="D6" s="8">
        <v>10</v>
      </c>
      <c r="E6" s="8"/>
      <c r="F6" s="157" t="s">
        <v>171</v>
      </c>
      <c r="G6" s="8">
        <f>AVERAGE(B3:B7)</f>
        <v>81.2</v>
      </c>
      <c r="H6" s="8">
        <f>AVERAGE(C3:C7)</f>
        <v>42.6</v>
      </c>
      <c r="I6" s="8">
        <f>AVERAGE(D3:D7)</f>
        <v>9.1999999999999993</v>
      </c>
      <c r="K6" s="2" t="s">
        <v>194</v>
      </c>
      <c r="L6" s="21" cm="1">
        <f t="array" ref="L6">SQRT(MMULT(G16:I16,MMULT(MINVERSE($G$20:$I$22),TRANSPOSE(G16:I16))))</f>
        <v>1.1143743725949555</v>
      </c>
      <c r="M6" s="21" t="s">
        <v>248</v>
      </c>
      <c r="N6" s="21"/>
    </row>
    <row r="7" spans="1:14" ht="15.6" x14ac:dyDescent="0.35">
      <c r="A7" s="2" t="s">
        <v>155</v>
      </c>
      <c r="B7" s="8">
        <v>72</v>
      </c>
      <c r="C7" s="8">
        <v>47</v>
      </c>
      <c r="D7" s="8">
        <v>10</v>
      </c>
      <c r="E7" s="8"/>
      <c r="F7" s="157" t="s">
        <v>168</v>
      </c>
      <c r="G7" s="27">
        <f>AVERAGE(B8:B12)</f>
        <v>70</v>
      </c>
      <c r="H7" s="27">
        <f>AVERAGE(C8:C12)</f>
        <v>49.6</v>
      </c>
      <c r="I7" s="27">
        <f>AVERAGE(D8:D12)</f>
        <v>8.4</v>
      </c>
      <c r="L7" t="str">
        <f ca="1">_xlfn.FORMULATEXT(L3)</f>
        <v>=SQRT(MMULT(G13:I13,MMULT(MINVERSE($G$20:$I$22),TRANSPOSE(G13:I13))))</v>
      </c>
      <c r="M7" s="21"/>
      <c r="N7" s="21"/>
    </row>
    <row r="8" spans="1:14" ht="15.6" x14ac:dyDescent="0.35">
      <c r="A8" s="2" t="s">
        <v>148</v>
      </c>
      <c r="B8" s="8">
        <v>74</v>
      </c>
      <c r="C8" s="8">
        <v>39</v>
      </c>
      <c r="D8" s="8">
        <v>6</v>
      </c>
      <c r="E8" s="8"/>
      <c r="F8" s="157" t="s">
        <v>203</v>
      </c>
      <c r="G8" s="27">
        <f>AVERAGE(B13:B17)</f>
        <v>79.599999999999994</v>
      </c>
      <c r="H8" s="27">
        <f>AVERAGE(C13:C17)</f>
        <v>50.8</v>
      </c>
      <c r="I8" s="27">
        <f>AVERAGE(D13:D17)</f>
        <v>8.1999999999999993</v>
      </c>
      <c r="J8" s="21"/>
      <c r="L8" s="21"/>
      <c r="M8" s="21"/>
    </row>
    <row r="9" spans="1:14" ht="15.6" x14ac:dyDescent="0.35">
      <c r="A9" s="2" t="s">
        <v>148</v>
      </c>
      <c r="B9" s="8">
        <v>73</v>
      </c>
      <c r="C9" s="8">
        <v>70</v>
      </c>
      <c r="D9" s="8">
        <v>7</v>
      </c>
      <c r="E9" s="8"/>
      <c r="F9" s="157" t="s">
        <v>201</v>
      </c>
      <c r="G9" s="27">
        <f>AVERAGE(B18:B22)</f>
        <v>78.8</v>
      </c>
      <c r="H9" s="27">
        <f>AVERAGE(C18:C22)</f>
        <v>50</v>
      </c>
      <c r="I9" s="27">
        <f>AVERAGE(D18:D22)</f>
        <v>8.6</v>
      </c>
      <c r="J9" s="21"/>
    </row>
    <row r="10" spans="1:14" x14ac:dyDescent="0.3">
      <c r="A10" s="2" t="s">
        <v>148</v>
      </c>
      <c r="B10" s="8">
        <v>66</v>
      </c>
      <c r="C10" s="8">
        <v>31</v>
      </c>
      <c r="D10" s="8">
        <v>10</v>
      </c>
      <c r="E10" s="8"/>
      <c r="G10" s="21" t="str">
        <f ca="1">_xlfn.FORMULATEXT(G6)</f>
        <v>=AVERAGE(B3:B7)</v>
      </c>
      <c r="H10" s="21"/>
      <c r="I10" s="21"/>
    </row>
    <row r="11" spans="1:14" x14ac:dyDescent="0.3">
      <c r="A11" s="2" t="s">
        <v>148</v>
      </c>
      <c r="B11" s="8">
        <v>60</v>
      </c>
      <c r="C11" s="8">
        <v>59</v>
      </c>
      <c r="D11" s="8">
        <v>9</v>
      </c>
      <c r="E11" s="8"/>
      <c r="F11" s="2"/>
    </row>
    <row r="12" spans="1:14" x14ac:dyDescent="0.3">
      <c r="A12" s="2" t="s">
        <v>148</v>
      </c>
      <c r="B12" s="8">
        <v>77</v>
      </c>
      <c r="C12" s="8">
        <v>49</v>
      </c>
      <c r="D12" s="8">
        <v>10</v>
      </c>
      <c r="F12" s="112" t="s">
        <v>247</v>
      </c>
    </row>
    <row r="13" spans="1:14" ht="16.2" x14ac:dyDescent="0.35">
      <c r="A13" s="2" t="s">
        <v>196</v>
      </c>
      <c r="B13" s="8">
        <v>73</v>
      </c>
      <c r="C13" s="8">
        <v>46</v>
      </c>
      <c r="D13" s="8">
        <v>9</v>
      </c>
      <c r="E13" s="8"/>
      <c r="F13" s="2" t="s">
        <v>246</v>
      </c>
      <c r="G13" s="8">
        <f t="shared" ref="G13:I16" si="0">G$2-G6</f>
        <v>-8.2000000000000028</v>
      </c>
      <c r="H13" s="8">
        <f t="shared" si="0"/>
        <v>7.3999999999999986</v>
      </c>
      <c r="I13" s="8">
        <f t="shared" si="0"/>
        <v>0.80000000000000071</v>
      </c>
    </row>
    <row r="14" spans="1:14" ht="16.2" x14ac:dyDescent="0.35">
      <c r="A14" s="2" t="s">
        <v>196</v>
      </c>
      <c r="B14" s="8">
        <v>84</v>
      </c>
      <c r="C14" s="8">
        <v>66</v>
      </c>
      <c r="D14" s="8">
        <v>7</v>
      </c>
      <c r="E14" s="8"/>
      <c r="F14" s="2" t="s">
        <v>245</v>
      </c>
      <c r="G14" s="8">
        <f t="shared" si="0"/>
        <v>3</v>
      </c>
      <c r="H14" s="8">
        <f t="shared" si="0"/>
        <v>0.39999999999999858</v>
      </c>
      <c r="I14" s="8">
        <f t="shared" si="0"/>
        <v>1.5999999999999996</v>
      </c>
    </row>
    <row r="15" spans="1:14" ht="16.2" x14ac:dyDescent="0.35">
      <c r="A15" s="2" t="s">
        <v>196</v>
      </c>
      <c r="B15" s="8">
        <v>73</v>
      </c>
      <c r="C15" s="8">
        <v>61</v>
      </c>
      <c r="D15" s="8">
        <v>8</v>
      </c>
      <c r="E15" s="8"/>
      <c r="F15" s="2" t="s">
        <v>244</v>
      </c>
      <c r="G15" s="8">
        <f t="shared" si="0"/>
        <v>-6.5999999999999943</v>
      </c>
      <c r="H15" s="8">
        <f t="shared" si="0"/>
        <v>-0.79999999999999716</v>
      </c>
      <c r="I15" s="8">
        <f t="shared" si="0"/>
        <v>1.8000000000000007</v>
      </c>
    </row>
    <row r="16" spans="1:14" ht="16.2" x14ac:dyDescent="0.35">
      <c r="A16" s="2" t="s">
        <v>196</v>
      </c>
      <c r="B16" s="8">
        <v>80</v>
      </c>
      <c r="C16" s="8">
        <v>36</v>
      </c>
      <c r="D16" s="8">
        <v>9</v>
      </c>
      <c r="E16" s="8"/>
      <c r="F16" s="2" t="s">
        <v>243</v>
      </c>
      <c r="G16" s="8">
        <f t="shared" si="0"/>
        <v>-5.7999999999999972</v>
      </c>
      <c r="H16" s="8">
        <f t="shared" si="0"/>
        <v>0</v>
      </c>
      <c r="I16" s="8">
        <f t="shared" si="0"/>
        <v>1.4000000000000004</v>
      </c>
    </row>
    <row r="17" spans="1:9" x14ac:dyDescent="0.3">
      <c r="A17" s="2" t="s">
        <v>196</v>
      </c>
      <c r="B17" s="8">
        <v>88</v>
      </c>
      <c r="C17" s="8">
        <v>45</v>
      </c>
      <c r="D17" s="8">
        <v>8</v>
      </c>
      <c r="G17" t="str">
        <f ca="1">_xlfn.FORMULATEXT(G13)</f>
        <v>=G$2-G6</v>
      </c>
    </row>
    <row r="18" spans="1:9" x14ac:dyDescent="0.3">
      <c r="A18" s="2" t="s">
        <v>194</v>
      </c>
      <c r="B18" s="8">
        <v>72</v>
      </c>
      <c r="C18" s="8">
        <v>60</v>
      </c>
      <c r="D18" s="8">
        <v>10</v>
      </c>
    </row>
    <row r="19" spans="1:9" x14ac:dyDescent="0.3">
      <c r="A19" s="2" t="s">
        <v>194</v>
      </c>
      <c r="B19" s="8">
        <v>77</v>
      </c>
      <c r="C19" s="8">
        <v>55</v>
      </c>
      <c r="D19" s="8">
        <v>9</v>
      </c>
      <c r="F19" t="s">
        <v>242</v>
      </c>
    </row>
    <row r="20" spans="1:9" x14ac:dyDescent="0.3">
      <c r="A20" s="2" t="s">
        <v>194</v>
      </c>
      <c r="B20" s="8">
        <v>78</v>
      </c>
      <c r="C20" s="8">
        <v>30</v>
      </c>
      <c r="D20" s="8">
        <v>10</v>
      </c>
      <c r="G20" s="21" cm="1">
        <f t="array" ref="G20:I22">[2]!COV(B3:D22)</f>
        <v>55.199999999999996</v>
      </c>
      <c r="H20" s="21">
        <v>-12.105263157894742</v>
      </c>
      <c r="I20" s="21">
        <v>-2.0421052631578949</v>
      </c>
    </row>
    <row r="21" spans="1:9" x14ac:dyDescent="0.3">
      <c r="A21" s="2" t="s">
        <v>194</v>
      </c>
      <c r="B21" s="8">
        <v>80</v>
      </c>
      <c r="C21" s="8">
        <v>60</v>
      </c>
      <c r="D21" s="8">
        <v>5</v>
      </c>
      <c r="G21" s="21">
        <v>-12.105263157894742</v>
      </c>
      <c r="H21" s="21">
        <v>136.30263157894737</v>
      </c>
      <c r="I21" s="21">
        <v>-7.8947368421052628</v>
      </c>
    </row>
    <row r="22" spans="1:9" x14ac:dyDescent="0.3">
      <c r="A22" s="2" t="s">
        <v>194</v>
      </c>
      <c r="B22" s="8">
        <v>87</v>
      </c>
      <c r="C22" s="8">
        <v>45</v>
      </c>
      <c r="D22" s="8">
        <v>9</v>
      </c>
      <c r="G22" s="21">
        <v>-2.0421052631578949</v>
      </c>
      <c r="H22" s="21">
        <v>-7.8947368421052628</v>
      </c>
      <c r="I22" s="21">
        <v>2.5684210526315789</v>
      </c>
    </row>
    <row r="23" spans="1:9" x14ac:dyDescent="0.3">
      <c r="G23" t="str">
        <f ca="1">_xlfn.FORMULATEXT(G20)</f>
        <v>=COV(B3:D22)</v>
      </c>
    </row>
    <row r="24" spans="1:9" x14ac:dyDescent="0.3">
      <c r="A24" s="2" t="s">
        <v>162</v>
      </c>
      <c r="B24" s="8">
        <v>4</v>
      </c>
      <c r="C24" t="s">
        <v>161</v>
      </c>
    </row>
    <row r="25" spans="1:9" ht="16.2" x14ac:dyDescent="0.3">
      <c r="A25" s="2" t="s">
        <v>193</v>
      </c>
      <c r="B25" s="8">
        <v>5</v>
      </c>
      <c r="C25" t="s">
        <v>192</v>
      </c>
      <c r="G25" t="s">
        <v>241</v>
      </c>
    </row>
    <row r="26" spans="1:9" x14ac:dyDescent="0.3">
      <c r="A26" s="2" t="s">
        <v>191</v>
      </c>
      <c r="B26" s="8">
        <v>20</v>
      </c>
      <c r="C26" t="s">
        <v>151</v>
      </c>
      <c r="G26" s="26" cm="1">
        <f t="array" ref="G26:I28">MINVERSE(G20:I22)</f>
        <v>1.9778360126359609E-2</v>
      </c>
      <c r="H26" s="26">
        <v>3.2451195515747363E-3</v>
      </c>
      <c r="I26" s="26">
        <v>2.5700170197519738E-2</v>
      </c>
    </row>
    <row r="27" spans="1:9" x14ac:dyDescent="0.3">
      <c r="G27" s="26">
        <v>3.2451195515747363E-3</v>
      </c>
      <c r="H27" s="26">
        <v>9.4581412135664473E-3</v>
      </c>
      <c r="I27" s="26">
        <v>3.1652291406476775E-2</v>
      </c>
    </row>
    <row r="28" spans="1:9" x14ac:dyDescent="0.3">
      <c r="G28" s="26">
        <v>2.5700170197519738E-2</v>
      </c>
      <c r="H28" s="26">
        <v>3.1652291406476782E-2</v>
      </c>
      <c r="I28" s="26">
        <v>0.50706988349662463</v>
      </c>
    </row>
    <row r="29" spans="1:9" x14ac:dyDescent="0.3">
      <c r="G29" t="str">
        <f ca="1">_xlfn.FORMULATEXT(G26)</f>
        <v>=MINVERSE(G20:I22)</v>
      </c>
    </row>
    <row r="34" spans="7:8" x14ac:dyDescent="0.3">
      <c r="G34" s="21"/>
      <c r="H34" s="21"/>
    </row>
    <row r="35" spans="7:8" x14ac:dyDescent="0.3">
      <c r="G35" s="21"/>
      <c r="H35" s="21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0111A-13EE-49E3-B628-2145FC347E26}">
  <dimension ref="A1:AU30"/>
  <sheetViews>
    <sheetView workbookViewId="0">
      <selection activeCell="E1" sqref="E1"/>
    </sheetView>
  </sheetViews>
  <sheetFormatPr defaultRowHeight="14.4" x14ac:dyDescent="0.3"/>
  <cols>
    <col min="5" max="5" width="5.33203125" customWidth="1"/>
    <col min="14" max="14" width="4.6640625" customWidth="1"/>
    <col min="15" max="15" width="11.44140625" customWidth="1"/>
    <col min="16" max="16" width="10" customWidth="1"/>
    <col min="17" max="17" width="9.5546875" bestFit="1" customWidth="1"/>
    <col min="18" max="18" width="4.6640625" customWidth="1"/>
    <col min="46" max="46" width="10.88671875" customWidth="1"/>
  </cols>
  <sheetData>
    <row r="1" spans="1:47" x14ac:dyDescent="0.3">
      <c r="A1" t="s">
        <v>180</v>
      </c>
      <c r="S1" t="s">
        <v>296</v>
      </c>
      <c r="AB1" t="s">
        <v>295</v>
      </c>
      <c r="AO1" t="s">
        <v>294</v>
      </c>
    </row>
    <row r="2" spans="1:47" ht="15.6" x14ac:dyDescent="0.35">
      <c r="A2" s="2" t="s">
        <v>179</v>
      </c>
      <c r="B2" s="8" t="s">
        <v>178</v>
      </c>
      <c r="C2" s="8" t="s">
        <v>177</v>
      </c>
      <c r="D2" s="8" t="s">
        <v>176</v>
      </c>
      <c r="G2" t="s">
        <v>175</v>
      </c>
      <c r="K2" t="s">
        <v>163</v>
      </c>
      <c r="O2" t="s">
        <v>204</v>
      </c>
      <c r="S2" s="8" t="s">
        <v>289</v>
      </c>
      <c r="T2" s="8" t="s">
        <v>288</v>
      </c>
      <c r="U2" s="8" t="s">
        <v>287</v>
      </c>
      <c r="W2" t="s">
        <v>293</v>
      </c>
      <c r="AB2" t="s">
        <v>292</v>
      </c>
    </row>
    <row r="3" spans="1:47" ht="15.6" x14ac:dyDescent="0.35">
      <c r="A3" s="2" t="s">
        <v>155</v>
      </c>
      <c r="B3" s="8">
        <v>76</v>
      </c>
      <c r="C3" s="8">
        <v>35</v>
      </c>
      <c r="D3" s="8">
        <v>10</v>
      </c>
      <c r="F3" s="157" t="s">
        <v>285</v>
      </c>
      <c r="G3" s="8">
        <f>AVERAGE(B3:B7)</f>
        <v>81.2</v>
      </c>
      <c r="H3" s="8">
        <f>AVERAGE(C3:C7)</f>
        <v>42.6</v>
      </c>
      <c r="I3" s="8">
        <f>AVERAGE(D3:D7)</f>
        <v>9.1999999999999993</v>
      </c>
      <c r="K3" cm="1">
        <f t="array" ref="K3:K7">B3:B7-G$3</f>
        <v>-5.2000000000000028</v>
      </c>
      <c r="L3" cm="1">
        <f t="array" ref="L3:L7">C3:C7-H$3</f>
        <v>-7.6000000000000014</v>
      </c>
      <c r="M3" cm="1">
        <f t="array" ref="M3:M7">D3:D7-I$3</f>
        <v>0.80000000000000071</v>
      </c>
      <c r="O3" cm="1">
        <f t="array" ref="O3:Q5">MMULT(TRANSPOSE(K3:M22),K3:M22)</f>
        <v>668.80000000000018</v>
      </c>
      <c r="P3">
        <v>-112.99999999999999</v>
      </c>
      <c r="Q3">
        <v>-53.199999999999989</v>
      </c>
      <c r="S3" s="21" cm="1">
        <f t="array" ref="S3:S22">ABS(MMULT(B3:D22,$O$17:$O$19))</f>
        <v>45.492608781354107</v>
      </c>
      <c r="T3" s="21" cm="1">
        <f t="array" ref="T3:T22">MMULT(B3:D22,$P$17:$P$19)</f>
        <v>13.799831649948215</v>
      </c>
      <c r="U3" s="21" cm="1">
        <f t="array" ref="U3:U22">MMULT(B3:D22,$Q$17:$Q$19)</f>
        <v>13.299432655711602</v>
      </c>
      <c r="W3" t="s">
        <v>291</v>
      </c>
      <c r="AB3" s="8" t="s">
        <v>289</v>
      </c>
      <c r="AC3" s="8" t="s">
        <v>288</v>
      </c>
      <c r="AD3" s="8" t="s">
        <v>287</v>
      </c>
      <c r="AO3" s="15" t="s">
        <v>290</v>
      </c>
      <c r="AP3" s="13">
        <f>COUNTA(A3:A22)</f>
        <v>20</v>
      </c>
    </row>
    <row r="4" spans="1:47" ht="15.6" x14ac:dyDescent="0.35">
      <c r="A4" s="2" t="s">
        <v>155</v>
      </c>
      <c r="B4" s="8">
        <v>85</v>
      </c>
      <c r="C4" s="8">
        <v>46</v>
      </c>
      <c r="D4" s="8">
        <v>6</v>
      </c>
      <c r="F4" s="157" t="s">
        <v>283</v>
      </c>
      <c r="G4" s="27">
        <f>AVERAGE(B8:B12)</f>
        <v>70</v>
      </c>
      <c r="H4" s="27">
        <f>AVERAGE(C8:C12)</f>
        <v>49.6</v>
      </c>
      <c r="I4" s="27">
        <f>AVERAGE(D8:D12)</f>
        <v>8.4</v>
      </c>
      <c r="K4">
        <v>3.7999999999999972</v>
      </c>
      <c r="L4">
        <v>3.3999999999999986</v>
      </c>
      <c r="M4">
        <v>-3.1999999999999993</v>
      </c>
      <c r="O4">
        <v>-112.99999999999999</v>
      </c>
      <c r="P4">
        <v>2373.1999999999998</v>
      </c>
      <c r="Q4">
        <v>-126.6</v>
      </c>
      <c r="S4" s="21">
        <v>46.498891166253443</v>
      </c>
      <c r="T4" s="21">
        <v>22.44647595369495</v>
      </c>
      <c r="U4" s="21">
        <v>10.459757895858054</v>
      </c>
      <c r="W4" s="8" t="s">
        <v>289</v>
      </c>
      <c r="X4" s="8" t="s">
        <v>288</v>
      </c>
      <c r="Y4" s="8" t="s">
        <v>287</v>
      </c>
      <c r="AA4" s="2" t="s">
        <v>178</v>
      </c>
      <c r="AB4" s="27">
        <f>CORREL(K3:K22,S3:S22)</f>
        <v>0.67938530865340607</v>
      </c>
      <c r="AC4" s="27">
        <f>CORREL(K3:K22,T3:T22)</f>
        <v>0.23215513994386261</v>
      </c>
      <c r="AD4" s="27">
        <f>CORREL(K3:K22,U3:U22)</f>
        <v>-0.38808249819163243</v>
      </c>
      <c r="AE4" t="str">
        <f ca="1">_xlfn.FORMULATEXT(AC4)</f>
        <v>=CORREL(K3:K22,T3:T22)</v>
      </c>
      <c r="AO4" s="10" t="s">
        <v>286</v>
      </c>
      <c r="AP4" s="9">
        <f>COUNTA(B2:D2)</f>
        <v>3</v>
      </c>
    </row>
    <row r="5" spans="1:47" ht="15.6" x14ac:dyDescent="0.35">
      <c r="A5" s="2" t="s">
        <v>155</v>
      </c>
      <c r="B5" s="8">
        <v>87</v>
      </c>
      <c r="C5" s="8">
        <v>37</v>
      </c>
      <c r="D5" s="8">
        <v>10</v>
      </c>
      <c r="F5" s="157" t="s">
        <v>281</v>
      </c>
      <c r="G5" s="27">
        <f>AVERAGE(B13:B17)</f>
        <v>79.599999999999994</v>
      </c>
      <c r="H5" s="27">
        <f>AVERAGE(C13:C17)</f>
        <v>50.8</v>
      </c>
      <c r="I5" s="27">
        <f>AVERAGE(D13:D17)</f>
        <v>8.1999999999999993</v>
      </c>
      <c r="J5" s="21"/>
      <c r="K5">
        <v>5.7999999999999972</v>
      </c>
      <c r="L5">
        <v>-5.6000000000000014</v>
      </c>
      <c r="M5">
        <v>0.80000000000000071</v>
      </c>
      <c r="O5">
        <v>-53.199999999999989</v>
      </c>
      <c r="P5">
        <v>-126.6</v>
      </c>
      <c r="Q5">
        <v>45.999999999999993</v>
      </c>
      <c r="S5" s="21">
        <v>50.712900002933708</v>
      </c>
      <c r="T5" s="21">
        <v>16.183818859869476</v>
      </c>
      <c r="U5" s="21">
        <v>13.454822053051103</v>
      </c>
      <c r="V5" s="157" t="s">
        <v>285</v>
      </c>
      <c r="W5" s="27">
        <f>AVERAGE(S3:S7)</f>
        <v>47.442848620904748</v>
      </c>
      <c r="X5" s="27">
        <f>AVERAGE(T3:T7)</f>
        <v>17.774745334104544</v>
      </c>
      <c r="Y5" s="27">
        <f>AVERAGE(U3:U7)</f>
        <v>13.295211369917144</v>
      </c>
      <c r="AA5" s="2" t="s">
        <v>177</v>
      </c>
      <c r="AB5" s="27">
        <f>CORREL(L3:L22,S3:S22)</f>
        <v>-0.13337318266610301</v>
      </c>
      <c r="AC5" s="27">
        <f>CORREL(L3:L22,T3:T22)</f>
        <v>0.86712433426787972</v>
      </c>
      <c r="AD5" s="27">
        <f>CORREL(L3:L22,U3:U22)</f>
        <v>0.39168512311670639</v>
      </c>
      <c r="AE5" t="str">
        <f ca="1">_xlfn.FORMULATEXT(AC5)</f>
        <v>=CORREL(L3:L22,T3:T22)</v>
      </c>
      <c r="AO5" s="10" t="s">
        <v>284</v>
      </c>
      <c r="AP5" s="9">
        <f>COUNTA(F3:F6)</f>
        <v>4</v>
      </c>
    </row>
    <row r="6" spans="1:47" ht="15.6" x14ac:dyDescent="0.35">
      <c r="A6" s="2" t="s">
        <v>155</v>
      </c>
      <c r="B6" s="8">
        <v>86</v>
      </c>
      <c r="C6" s="8">
        <v>48</v>
      </c>
      <c r="D6" s="8">
        <v>10</v>
      </c>
      <c r="F6" s="157" t="s">
        <v>279</v>
      </c>
      <c r="G6" s="27">
        <f>AVERAGE(B18:B22)</f>
        <v>78.8</v>
      </c>
      <c r="H6" s="27">
        <f>AVERAGE(C18:C22)</f>
        <v>50</v>
      </c>
      <c r="I6" s="27">
        <f>AVERAGE(D18:D22)</f>
        <v>8.6</v>
      </c>
      <c r="J6" s="21"/>
      <c r="K6">
        <v>4.7999999999999972</v>
      </c>
      <c r="L6">
        <v>5.3999999999999986</v>
      </c>
      <c r="M6">
        <v>0.80000000000000071</v>
      </c>
      <c r="O6" t="str">
        <f ca="1">_xlfn.FORMULATEXT(O3)</f>
        <v>=MMULT(TRANSPOSE(K3:M22),K3:M22)</v>
      </c>
      <c r="S6" s="21">
        <v>50.55503858302113</v>
      </c>
      <c r="T6" s="21">
        <v>19.495078949117165</v>
      </c>
      <c r="U6" s="21">
        <v>14.646573283726926</v>
      </c>
      <c r="V6" s="157" t="s">
        <v>283</v>
      </c>
      <c r="W6" s="27">
        <f>AVERAGE(S8:S12)</f>
        <v>41.677570734377198</v>
      </c>
      <c r="X6" s="27">
        <f>AVERAGE(T8:T12)</f>
        <v>18.946840557631127</v>
      </c>
      <c r="Y6" s="27">
        <f>AVERAGE(U8:U12)</f>
        <v>13.316180338799565</v>
      </c>
      <c r="Z6" s="27"/>
      <c r="AA6" s="2" t="s">
        <v>176</v>
      </c>
      <c r="AB6" s="27">
        <f>CORREL(M3:M22,S3:S22)</f>
        <v>0.11820214844171208</v>
      </c>
      <c r="AC6" s="27">
        <f>CORREL(M3:M22,T3:T22)</f>
        <v>-0.67074659058509878</v>
      </c>
      <c r="AD6" s="27">
        <f>CORREL(M3:M22,U3:U22)</f>
        <v>0.69681244754063054</v>
      </c>
      <c r="AE6" t="str">
        <f ca="1">_xlfn.FORMULATEXT(AC6)</f>
        <v>=CORREL(M3:M22,T3:T22)</v>
      </c>
      <c r="AO6" s="10" t="s">
        <v>282</v>
      </c>
      <c r="AP6" s="9">
        <f>AP3-AP5-(AP4-AP5+2)/2</f>
        <v>15.5</v>
      </c>
    </row>
    <row r="7" spans="1:47" ht="16.2" x14ac:dyDescent="0.35">
      <c r="A7" s="2" t="s">
        <v>155</v>
      </c>
      <c r="B7" s="8">
        <v>72</v>
      </c>
      <c r="C7" s="8">
        <v>47</v>
      </c>
      <c r="D7" s="8">
        <v>10</v>
      </c>
      <c r="F7" s="3" t="s">
        <v>200</v>
      </c>
      <c r="G7" s="27">
        <f>5/20*G3+5/20*G4+5/20*G5+5/20*G6</f>
        <v>77.399999999999991</v>
      </c>
      <c r="H7" s="27">
        <f>5/20*H3+5/20*H4+5/20*H5+5/20*H6</f>
        <v>48.25</v>
      </c>
      <c r="I7" s="27">
        <f>5/20*I3+5/20*I4+5/20*I5+5/20*I6</f>
        <v>8.6</v>
      </c>
      <c r="K7">
        <v>-9.2000000000000028</v>
      </c>
      <c r="L7">
        <v>4.3999999999999986</v>
      </c>
      <c r="M7">
        <v>0.80000000000000071</v>
      </c>
      <c r="S7" s="21">
        <v>43.954804570961358</v>
      </c>
      <c r="T7" s="21">
        <v>16.948521257892907</v>
      </c>
      <c r="U7" s="21">
        <v>14.615470961238032</v>
      </c>
      <c r="V7" s="157" t="s">
        <v>281</v>
      </c>
      <c r="W7" s="27">
        <f>AVERAGE(S13:S17)</f>
        <v>46.041508069703788</v>
      </c>
      <c r="X7" s="27">
        <f>AVERAGE(T13:T17)</f>
        <v>21.042403296151072</v>
      </c>
      <c r="Y7" s="27">
        <f>AVERAGE(U13:U17)</f>
        <v>13.194139037623609</v>
      </c>
      <c r="Z7" s="27"/>
      <c r="AB7" t="str">
        <f ca="1">_xlfn.FORMULATEXT(AB4)</f>
        <v>=CORREL(K3:K22,S3:S22)</v>
      </c>
      <c r="AO7" s="10" t="s">
        <v>280</v>
      </c>
      <c r="AP7" s="9">
        <f>AP4^2*(AP5-1)^2-4</f>
        <v>77</v>
      </c>
    </row>
    <row r="8" spans="1:47" ht="15.6" x14ac:dyDescent="0.35">
      <c r="A8" s="2" t="s">
        <v>148</v>
      </c>
      <c r="B8" s="8">
        <v>74</v>
      </c>
      <c r="C8" s="8">
        <v>39</v>
      </c>
      <c r="D8" s="8">
        <v>6</v>
      </c>
      <c r="G8" t="str">
        <f ca="1">_xlfn.FORMULATEXT(G6)</f>
        <v>=AVERAGE(B18:B22)</v>
      </c>
      <c r="H8" s="21"/>
      <c r="I8" s="21"/>
      <c r="J8" s="21"/>
      <c r="K8" s="21" cm="1">
        <f t="array" ref="K8:K12">B8:B12-G$4</f>
        <v>4</v>
      </c>
      <c r="L8" s="21" cm="1">
        <f t="array" ref="L8:L12">C8:C12-H$4</f>
        <v>-10.600000000000001</v>
      </c>
      <c r="M8" s="21" cm="1">
        <f t="array" ref="M8:M12">D8:D12-I$4</f>
        <v>-2.4000000000000004</v>
      </c>
      <c r="O8" t="s">
        <v>173</v>
      </c>
      <c r="S8" s="21">
        <v>41.136981424245334</v>
      </c>
      <c r="T8" s="21">
        <v>18.484933939235241</v>
      </c>
      <c r="U8" s="21">
        <v>9.7651549645846671</v>
      </c>
      <c r="V8" s="157" t="s">
        <v>279</v>
      </c>
      <c r="W8" s="27">
        <f>AVERAGE(S18:S22)</f>
        <v>45.99631915892509</v>
      </c>
      <c r="X8" s="27">
        <f>AVERAGE(T18:T22)</f>
        <v>20.288328202122397</v>
      </c>
      <c r="Y8" s="27">
        <f>AVERAGE(U18:U22)</f>
        <v>13.509911180042867</v>
      </c>
      <c r="Z8" s="27"/>
      <c r="AO8" s="10" t="s">
        <v>278</v>
      </c>
      <c r="AP8" s="9">
        <f>AP4^2+(AP5-1)^2-5</f>
        <v>13</v>
      </c>
    </row>
    <row r="9" spans="1:47" ht="16.2" x14ac:dyDescent="0.3">
      <c r="A9" s="2" t="s">
        <v>148</v>
      </c>
      <c r="B9" s="8">
        <v>73</v>
      </c>
      <c r="C9" s="8">
        <v>70</v>
      </c>
      <c r="D9" s="8">
        <v>7</v>
      </c>
      <c r="G9" t="str">
        <f ca="1">_xlfn.FORMULATEXT(G7)</f>
        <v>=5/20*G3+5/20*G4+5/20*G5+5/20*G6</v>
      </c>
      <c r="H9" s="21"/>
      <c r="I9" s="21"/>
      <c r="J9" s="21"/>
      <c r="K9">
        <v>3</v>
      </c>
      <c r="L9">
        <v>20.399999999999999</v>
      </c>
      <c r="M9">
        <v>-1.4000000000000004</v>
      </c>
      <c r="O9" t="s">
        <v>170</v>
      </c>
      <c r="S9" s="21">
        <v>42.428113546982033</v>
      </c>
      <c r="T9" s="21">
        <v>27.17096839485421</v>
      </c>
      <c r="U9" s="21">
        <v>14.107913188575171</v>
      </c>
      <c r="V9" s="157"/>
      <c r="W9" s="207" t="str">
        <f ca="1">_xlfn.FORMULATEXT(W5)</f>
        <v>=AVERAGE(S3:S7)</v>
      </c>
      <c r="X9" s="27"/>
      <c r="Y9" s="207" t="str">
        <f ca="1">_xlfn.FORMULATEXT(Y5)</f>
        <v>=AVERAGE(U3:U7)</v>
      </c>
      <c r="Z9" s="27"/>
      <c r="AO9" s="10" t="s">
        <v>277</v>
      </c>
      <c r="AP9" s="9">
        <f>IF(AP8&gt;0,SQRT(AP7/AP8),1)</f>
        <v>2.433737233777904</v>
      </c>
      <c r="AU9" s="111" t="s">
        <v>276</v>
      </c>
    </row>
    <row r="10" spans="1:47" x14ac:dyDescent="0.3">
      <c r="A10" s="2" t="s">
        <v>148</v>
      </c>
      <c r="B10" s="8">
        <v>66</v>
      </c>
      <c r="C10" s="8">
        <v>31</v>
      </c>
      <c r="D10" s="8">
        <v>10</v>
      </c>
      <c r="G10" s="12"/>
      <c r="H10" s="21"/>
      <c r="I10" s="21"/>
      <c r="J10" s="21"/>
      <c r="K10">
        <v>-4</v>
      </c>
      <c r="L10">
        <v>-18.600000000000001</v>
      </c>
      <c r="M10">
        <v>1.5999999999999996</v>
      </c>
      <c r="O10" s="21" cm="1">
        <f t="array" ref="O10:Q12">MMULT(MINVERSE(O3:Q5),F21:H23)</f>
        <v>0.67372260595101818</v>
      </c>
      <c r="P10" s="21">
        <v>-0.21700561752243247</v>
      </c>
      <c r="Q10" s="21">
        <v>2.7223956291375299E-2</v>
      </c>
      <c r="S10" s="21">
        <v>40.685092316458388</v>
      </c>
      <c r="T10" s="21">
        <v>10.944182998948483</v>
      </c>
      <c r="U10" s="21">
        <v>12.922876388777267</v>
      </c>
      <c r="AO10" s="10" t="s">
        <v>275</v>
      </c>
      <c r="AP10" s="9">
        <f>(AP4*(AP5-1)-2)/2</f>
        <v>3.5</v>
      </c>
      <c r="AR10" s="175" t="s">
        <v>274</v>
      </c>
    </row>
    <row r="11" spans="1:47" x14ac:dyDescent="0.3">
      <c r="A11" s="2" t="s">
        <v>148</v>
      </c>
      <c r="B11" s="8">
        <v>60</v>
      </c>
      <c r="C11" s="8">
        <v>59</v>
      </c>
      <c r="D11" s="8">
        <v>9</v>
      </c>
      <c r="F11" s="2"/>
      <c r="K11">
        <v>-10</v>
      </c>
      <c r="L11">
        <v>9.3999999999999986</v>
      </c>
      <c r="M11">
        <v>0.59999999999999964</v>
      </c>
      <c r="O11" s="21">
        <v>4.8106828666357279E-2</v>
      </c>
      <c r="P11" s="21">
        <v>4.7340809191776002E-2</v>
      </c>
      <c r="Q11" s="21">
        <v>-4.2629890205745178E-3</v>
      </c>
      <c r="S11" s="21">
        <v>37.779103580791038</v>
      </c>
      <c r="T11" s="21">
        <v>19.757771871724927</v>
      </c>
      <c r="U11" s="21">
        <v>14.981208057355532</v>
      </c>
      <c r="W11" t="s">
        <v>273</v>
      </c>
      <c r="AO11" s="10" t="s">
        <v>272</v>
      </c>
      <c r="AP11" s="9">
        <f>AA16</f>
        <v>0.5357715522255706</v>
      </c>
      <c r="AS11" s="344" t="s">
        <v>271</v>
      </c>
      <c r="AT11" s="344"/>
      <c r="AU11" t="s">
        <v>270</v>
      </c>
    </row>
    <row r="12" spans="1:47" ht="16.2" x14ac:dyDescent="0.3">
      <c r="A12" s="2" t="s">
        <v>148</v>
      </c>
      <c r="B12" s="8">
        <v>77</v>
      </c>
      <c r="C12" s="8">
        <v>49</v>
      </c>
      <c r="D12" s="8">
        <v>10</v>
      </c>
      <c r="F12" s="112" t="s">
        <v>247</v>
      </c>
      <c r="K12">
        <v>7</v>
      </c>
      <c r="L12">
        <v>-0.60000000000000142</v>
      </c>
      <c r="M12">
        <v>1.5999999999999996</v>
      </c>
      <c r="O12" s="21">
        <v>1.22461667708163</v>
      </c>
      <c r="P12" s="21">
        <v>-0.62937722627205539</v>
      </c>
      <c r="Q12" s="21">
        <v>8.0622175319487607E-2</v>
      </c>
      <c r="S12" s="21">
        <v>46.358562803409214</v>
      </c>
      <c r="T12" s="21">
        <v>18.376345583392776</v>
      </c>
      <c r="U12" s="21">
        <v>14.803749094705198</v>
      </c>
      <c r="W12" t="s">
        <v>269</v>
      </c>
      <c r="Z12" s="11" t="s">
        <v>268</v>
      </c>
      <c r="AA12" t="s">
        <v>267</v>
      </c>
      <c r="AO12" s="10" t="s">
        <v>266</v>
      </c>
      <c r="AP12" s="9">
        <f>AP11^(-1/AP9)-1</f>
        <v>0.29228928003519994</v>
      </c>
      <c r="AS12" s="344"/>
      <c r="AT12" s="344"/>
    </row>
    <row r="13" spans="1:47" ht="16.2" x14ac:dyDescent="0.35">
      <c r="A13" s="2" t="s">
        <v>196</v>
      </c>
      <c r="B13" s="8">
        <v>73</v>
      </c>
      <c r="C13" s="8">
        <v>46</v>
      </c>
      <c r="D13" s="8">
        <v>9</v>
      </c>
      <c r="F13" s="2" t="s">
        <v>246</v>
      </c>
      <c r="G13" s="27">
        <f t="shared" ref="G13:I16" si="0">G3-G$7</f>
        <v>3.8000000000000114</v>
      </c>
      <c r="H13" s="27">
        <f t="shared" si="0"/>
        <v>-5.6499999999999986</v>
      </c>
      <c r="I13" s="27">
        <f t="shared" si="0"/>
        <v>0.59999999999999964</v>
      </c>
      <c r="K13" s="21" cm="1">
        <f t="array" ref="K13:K17">B13:B17-G$5</f>
        <v>-6.5999999999999943</v>
      </c>
      <c r="L13" s="21" cm="1">
        <f t="array" ref="L13:L17">C13:C17-H$5</f>
        <v>-4.7999999999999972</v>
      </c>
      <c r="M13" s="21" cm="1">
        <f t="array" ref="M13:M17">D13:D17-I$5</f>
        <v>0.80000000000000071</v>
      </c>
      <c r="O13" t="str">
        <f ca="1">_xlfn.FORMULATEXT(O10)</f>
        <v>=MMULT(MINVERSE(O3:Q5),F21:H23)</v>
      </c>
      <c r="S13" s="21">
        <v>43.513383570795696</v>
      </c>
      <c r="T13" s="21">
        <v>17.727815629504626</v>
      </c>
      <c r="U13" s="21">
        <v>13.507993940850829</v>
      </c>
      <c r="V13" s="200" t="s">
        <v>265</v>
      </c>
      <c r="W13" s="198">
        <f>SQRT(O16/(1+O16))</f>
        <v>0.64484351910532356</v>
      </c>
      <c r="Z13" s="198">
        <f>W13^2</f>
        <v>0.41582316413213777</v>
      </c>
      <c r="AA13">
        <f>1-Z13</f>
        <v>0.58417683586786229</v>
      </c>
      <c r="AB13" t="str">
        <f ca="1">_xlfn.FORMULATEXT(AA13)</f>
        <v>=1-Z13</v>
      </c>
      <c r="AO13" s="10" t="s">
        <v>68</v>
      </c>
      <c r="AP13" s="9">
        <f>AP12*AP15/AP14</f>
        <v>1.1114438588490823</v>
      </c>
    </row>
    <row r="14" spans="1:47" ht="16.2" x14ac:dyDescent="0.35">
      <c r="A14" s="2" t="s">
        <v>196</v>
      </c>
      <c r="B14" s="8">
        <v>84</v>
      </c>
      <c r="C14" s="8">
        <v>66</v>
      </c>
      <c r="D14" s="8">
        <v>7</v>
      </c>
      <c r="F14" s="2" t="s">
        <v>245</v>
      </c>
      <c r="G14" s="27">
        <f t="shared" si="0"/>
        <v>-7.3999999999999915</v>
      </c>
      <c r="H14" s="27">
        <f t="shared" si="0"/>
        <v>1.3500000000000014</v>
      </c>
      <c r="I14" s="27">
        <f t="shared" si="0"/>
        <v>-0.19999999999999929</v>
      </c>
      <c r="K14">
        <v>4.4000000000000057</v>
      </c>
      <c r="L14">
        <v>15.200000000000003</v>
      </c>
      <c r="M14">
        <v>-1.1999999999999993</v>
      </c>
      <c r="S14" s="21">
        <v>47.478462544047431</v>
      </c>
      <c r="T14" s="21">
        <v>27.66188983932933</v>
      </c>
      <c r="U14" s="21">
        <v>13.616246345194014</v>
      </c>
      <c r="V14" s="200" t="s">
        <v>264</v>
      </c>
      <c r="W14" s="198">
        <f>SQRT(P16/(1+P16))</f>
        <v>0.27879630441243902</v>
      </c>
      <c r="Z14" s="198">
        <f>W14^2</f>
        <v>7.7727379354033371E-2</v>
      </c>
      <c r="AA14">
        <f>1-Z14</f>
        <v>0.9222726206459666</v>
      </c>
      <c r="AO14" s="10" t="s">
        <v>73</v>
      </c>
      <c r="AP14" s="9">
        <f>AP4*(AP5-1)</f>
        <v>9</v>
      </c>
      <c r="AR14" t="s">
        <v>263</v>
      </c>
    </row>
    <row r="15" spans="1:47" ht="16.2" x14ac:dyDescent="0.35">
      <c r="A15" s="2" t="s">
        <v>196</v>
      </c>
      <c r="B15" s="8">
        <v>73</v>
      </c>
      <c r="C15" s="8">
        <v>61</v>
      </c>
      <c r="D15" s="8">
        <v>8</v>
      </c>
      <c r="F15" s="2" t="s">
        <v>244</v>
      </c>
      <c r="G15" s="27">
        <f t="shared" si="0"/>
        <v>2.2000000000000028</v>
      </c>
      <c r="H15" s="27">
        <f t="shared" si="0"/>
        <v>2.5499999999999972</v>
      </c>
      <c r="I15" s="27">
        <f t="shared" si="0"/>
        <v>-0.40000000000000036</v>
      </c>
      <c r="K15">
        <v>-6.5999999999999943</v>
      </c>
      <c r="L15">
        <v>10.200000000000003</v>
      </c>
      <c r="M15">
        <v>-0.19999999999999929</v>
      </c>
      <c r="O15" t="s">
        <v>164</v>
      </c>
      <c r="S15" s="21">
        <v>43.055719671145972</v>
      </c>
      <c r="T15" s="21">
        <v>23.395924894902485</v>
      </c>
      <c r="U15" s="21">
        <v>14.131481685073332</v>
      </c>
      <c r="V15" s="200" t="s">
        <v>262</v>
      </c>
      <c r="W15" s="198">
        <f>SQRT(Q16/(1+Q16))</f>
        <v>7.4605052800775215E-2</v>
      </c>
      <c r="Z15" s="198">
        <f>W15^2</f>
        <v>5.5659139034064577E-3</v>
      </c>
      <c r="AA15">
        <f>1-Z15</f>
        <v>0.99443408609659356</v>
      </c>
      <c r="AO15" s="10" t="s">
        <v>72</v>
      </c>
      <c r="AP15" s="9">
        <f>AP6*AP9-AP10</f>
        <v>34.222927123557511</v>
      </c>
      <c r="AR15" t="s">
        <v>261</v>
      </c>
    </row>
    <row r="16" spans="1:47" ht="16.2" x14ac:dyDescent="0.35">
      <c r="A16" s="2" t="s">
        <v>196</v>
      </c>
      <c r="B16" s="8">
        <v>80</v>
      </c>
      <c r="C16" s="8">
        <v>36</v>
      </c>
      <c r="D16" s="8">
        <v>9</v>
      </c>
      <c r="F16" s="2" t="s">
        <v>243</v>
      </c>
      <c r="G16" s="27">
        <f t="shared" si="0"/>
        <v>1.4000000000000057</v>
      </c>
      <c r="H16" s="27">
        <f t="shared" si="0"/>
        <v>1.75</v>
      </c>
      <c r="I16" s="27">
        <f t="shared" si="0"/>
        <v>0</v>
      </c>
      <c r="K16">
        <v>0.40000000000000568</v>
      </c>
      <c r="L16">
        <v>-14.799999999999997</v>
      </c>
      <c r="M16">
        <v>0.80000000000000071</v>
      </c>
      <c r="O16" s="206" cm="1">
        <f t="array" ref="O16:Q21">[2]!eigVECTReal(O10:Q12)</f>
        <v>0.71181042896777047</v>
      </c>
      <c r="P16" s="205">
        <v>8.4278094799770303E-2</v>
      </c>
      <c r="Q16" s="204">
        <v>5.5970666947410081E-3</v>
      </c>
      <c r="R16" s="12" t="s">
        <v>13</v>
      </c>
      <c r="S16" s="21">
        <v>46.516101683925726</v>
      </c>
      <c r="T16" s="21">
        <v>15.688229385586013</v>
      </c>
      <c r="U16" s="21">
        <v>12.391196680834121</v>
      </c>
      <c r="W16" t="str">
        <f ca="1">_xlfn.FORMULATEXT(W13)</f>
        <v>=SQRT(O16/(1+O16))</v>
      </c>
      <c r="Z16" t="str">
        <f ca="1">_xlfn.FORMULATEXT(Z13)</f>
        <v>=W13^2</v>
      </c>
      <c r="AA16">
        <f>PRODUCT(AA13:AA15)</f>
        <v>0.5357715522255706</v>
      </c>
      <c r="AO16" s="203" t="s">
        <v>260</v>
      </c>
      <c r="AP16" s="9">
        <v>0.05</v>
      </c>
    </row>
    <row r="17" spans="1:44" x14ac:dyDescent="0.3">
      <c r="A17" s="2" t="s">
        <v>196</v>
      </c>
      <c r="B17" s="8">
        <v>88</v>
      </c>
      <c r="C17" s="8">
        <v>45</v>
      </c>
      <c r="D17" s="8">
        <v>8</v>
      </c>
      <c r="G17" t="str">
        <f ca="1">_xlfn.FORMULATEXT(G13)</f>
        <v>=G3-G$7</v>
      </c>
      <c r="K17">
        <v>8.4000000000000057</v>
      </c>
      <c r="L17">
        <v>-5.7999999999999972</v>
      </c>
      <c r="M17">
        <v>-0.19999999999999929</v>
      </c>
      <c r="O17" s="165">
        <v>-0.46942216485529076</v>
      </c>
      <c r="P17" s="164">
        <v>0.15936048073689771</v>
      </c>
      <c r="Q17" s="163">
        <v>-5.4814560212773523E-3</v>
      </c>
      <c r="R17" t="s">
        <v>91</v>
      </c>
      <c r="S17" s="21">
        <v>49.643872878604114</v>
      </c>
      <c r="T17" s="21">
        <v>20.738156731432916</v>
      </c>
      <c r="U17" s="21">
        <v>12.323776536165742</v>
      </c>
      <c r="AA17" t="str">
        <f ca="1">_xlfn.FORMULATEXT(AA16)</f>
        <v>=PRODUCT(AA13:AA15)</v>
      </c>
      <c r="AO17" s="10" t="s">
        <v>259</v>
      </c>
      <c r="AP17" s="9">
        <f>FINV(AP16,AP14,AP15)</f>
        <v>2.1695623174522973</v>
      </c>
    </row>
    <row r="18" spans="1:44" x14ac:dyDescent="0.3">
      <c r="A18" s="2" t="s">
        <v>194</v>
      </c>
      <c r="B18" s="8">
        <v>72</v>
      </c>
      <c r="C18" s="8">
        <v>60</v>
      </c>
      <c r="D18" s="8">
        <v>10</v>
      </c>
      <c r="K18" s="21" cm="1">
        <f t="array" ref="K18:K22">B18:B22-G6</f>
        <v>-6.7999999999999972</v>
      </c>
      <c r="L18" s="21" cm="1">
        <f t="array" ref="L18:L22">C18:C22-H6</f>
        <v>10</v>
      </c>
      <c r="M18" s="21" cm="1">
        <f t="array" ref="M18:M22">D18:D22-I6</f>
        <v>1.4000000000000004</v>
      </c>
      <c r="O18" s="161">
        <v>-2.8323704085701246E-2</v>
      </c>
      <c r="P18" s="26">
        <v>0.31551096090768976</v>
      </c>
      <c r="Q18" s="202">
        <v>0.10784270678677678</v>
      </c>
      <c r="S18" s="21">
        <v>44.323012724075475</v>
      </c>
      <c r="T18" s="21">
        <v>21.050163749692871</v>
      </c>
      <c r="U18" s="21">
        <v>16.017426149466129</v>
      </c>
      <c r="W18" t="s">
        <v>258</v>
      </c>
      <c r="Z18" t="s">
        <v>257</v>
      </c>
      <c r="AO18" s="7" t="s">
        <v>256</v>
      </c>
      <c r="AP18" s="5">
        <f>FDIST(AP13,AP14,AP15)</f>
        <v>0.38129099085010804</v>
      </c>
    </row>
    <row r="19" spans="1:44" ht="15.6" x14ac:dyDescent="0.35">
      <c r="A19" s="2" t="s">
        <v>194</v>
      </c>
      <c r="B19" s="8">
        <v>77</v>
      </c>
      <c r="C19" s="8">
        <v>55</v>
      </c>
      <c r="D19" s="8">
        <v>9</v>
      </c>
      <c r="F19" t="s">
        <v>195</v>
      </c>
      <c r="G19" s="21"/>
      <c r="H19" s="21"/>
      <c r="K19" s="21">
        <v>-1.7999999999999972</v>
      </c>
      <c r="L19" s="21">
        <v>5</v>
      </c>
      <c r="M19" s="21">
        <v>0.40000000000000036</v>
      </c>
      <c r="O19" s="160">
        <v>-0.88251946093524636</v>
      </c>
      <c r="P19" s="159">
        <v>-0.93544485178251491</v>
      </c>
      <c r="Q19" s="201">
        <v>0.99415285757914928</v>
      </c>
      <c r="S19" s="21">
        <v>45.645985566988166</v>
      </c>
      <c r="T19" s="21">
        <v>21.204856200621428</v>
      </c>
      <c r="U19" s="21">
        <v>14.45665247784671</v>
      </c>
      <c r="V19" s="200" t="s">
        <v>255</v>
      </c>
      <c r="W19" s="199">
        <f>W13^2/(1-W13^2)</f>
        <v>0.71181042896777025</v>
      </c>
      <c r="X19" t="str">
        <f ca="1">_xlfn.FORMULATEXT(W19)</f>
        <v>=W13^2/(1-W13^2)</v>
      </c>
      <c r="Z19" s="198">
        <f>W19/$W$22</f>
        <v>0.88789225780809411</v>
      </c>
      <c r="AR19" t="s">
        <v>254</v>
      </c>
    </row>
    <row r="20" spans="1:44" ht="15.6" x14ac:dyDescent="0.35">
      <c r="A20" s="2" t="s">
        <v>194</v>
      </c>
      <c r="B20" s="8">
        <v>78</v>
      </c>
      <c r="C20" s="8">
        <v>30</v>
      </c>
      <c r="D20" s="8">
        <v>10</v>
      </c>
      <c r="F20" t="s">
        <v>174</v>
      </c>
      <c r="K20" s="21">
        <v>-0.79999999999999716</v>
      </c>
      <c r="L20" s="21">
        <v>-20</v>
      </c>
      <c r="M20" s="21">
        <v>1.4000000000000004</v>
      </c>
      <c r="O20">
        <v>-3.3296905627360607E-17</v>
      </c>
      <c r="P20">
        <v>-3.742322755922799E-18</v>
      </c>
      <c r="Q20">
        <v>1.3422795900839816E-19</v>
      </c>
      <c r="S20" s="21">
        <v>46.289834590636183</v>
      </c>
      <c r="T20" s="21">
        <v>12.540997806883565</v>
      </c>
      <c r="U20" s="21">
        <v>12.749256209735162</v>
      </c>
      <c r="V20" s="200" t="s">
        <v>253</v>
      </c>
      <c r="W20" s="199">
        <f>W14^2/(1-W14^2)</f>
        <v>8.4278094799770303E-2</v>
      </c>
      <c r="X20" t="str">
        <f ca="1">_xlfn.FORMULATEXT(W20)</f>
        <v>=W14^2/(1-W14^2)</v>
      </c>
      <c r="Z20" s="198">
        <f>W20/$W$22</f>
        <v>0.10512611902026632</v>
      </c>
      <c r="AR20" t="s">
        <v>252</v>
      </c>
    </row>
    <row r="21" spans="1:44" ht="15.6" x14ac:dyDescent="0.35">
      <c r="A21" s="2" t="s">
        <v>194</v>
      </c>
      <c r="B21" s="8">
        <v>80</v>
      </c>
      <c r="C21" s="8">
        <v>60</v>
      </c>
      <c r="D21" s="8">
        <v>5</v>
      </c>
      <c r="F21" cm="1">
        <f t="array" ref="F21:H23">5*MMULT(TRANSPOSE(G13:I16),G13:I16)</f>
        <v>380</v>
      </c>
      <c r="G21">
        <v>-117.00000000000024</v>
      </c>
      <c r="H21">
        <v>14.399999999999986</v>
      </c>
      <c r="K21" s="21">
        <v>1.2000000000000028</v>
      </c>
      <c r="L21" s="21">
        <v>10</v>
      </c>
      <c r="M21" s="21">
        <v>-3.5999999999999996</v>
      </c>
      <c r="O21">
        <v>1.1102230246251565E-16</v>
      </c>
      <c r="P21">
        <v>5.7245874707234634E-17</v>
      </c>
      <c r="Q21">
        <v>1.3877787807814457E-17</v>
      </c>
      <c r="S21" s="21">
        <v>43.665792738241571</v>
      </c>
      <c r="T21" s="21">
        <v>27.002271854500627</v>
      </c>
      <c r="U21" s="21">
        <v>11.002810213400164</v>
      </c>
      <c r="V21" s="200" t="s">
        <v>251</v>
      </c>
      <c r="W21" s="199">
        <f>W15^2/(1-W15^2)</f>
        <v>5.5970666947410099E-3</v>
      </c>
      <c r="X21" t="str">
        <f ca="1">_xlfn.FORMULATEXT(W21)</f>
        <v>=W15^2/(1-W15^2)</v>
      </c>
      <c r="Z21" s="198">
        <f>W21/$W$22</f>
        <v>6.9816231716395621E-3</v>
      </c>
    </row>
    <row r="22" spans="1:44" x14ac:dyDescent="0.3">
      <c r="A22" s="2" t="s">
        <v>194</v>
      </c>
      <c r="B22" s="8">
        <v>87</v>
      </c>
      <c r="C22" s="8">
        <v>45</v>
      </c>
      <c r="D22" s="8">
        <v>9</v>
      </c>
      <c r="F22">
        <v>-117.00000000000024</v>
      </c>
      <c r="G22">
        <v>216.54999999999987</v>
      </c>
      <c r="H22">
        <v>-23.399999999999981</v>
      </c>
      <c r="K22" s="21">
        <v>8.2000000000000028</v>
      </c>
      <c r="L22" s="21">
        <v>-5</v>
      </c>
      <c r="M22" s="21">
        <v>0.40000000000000036</v>
      </c>
      <c r="O22" t="str">
        <f ca="1">_xlfn.FORMULATEXT(O16)</f>
        <v>=eigVECTReal(O10:Q12)</v>
      </c>
      <c r="S22" s="21">
        <v>50.056970174684068</v>
      </c>
      <c r="T22" s="21">
        <v>19.643351398913502</v>
      </c>
      <c r="U22" s="21">
        <v>13.323410849766169</v>
      </c>
      <c r="V22" s="2" t="s">
        <v>36</v>
      </c>
      <c r="W22" s="26">
        <f>SUM(W19:W21)</f>
        <v>0.80168559046228161</v>
      </c>
      <c r="Z22" s="198">
        <f>SUM(Z19:Z21)</f>
        <v>1</v>
      </c>
    </row>
    <row r="23" spans="1:44" x14ac:dyDescent="0.3">
      <c r="F23">
        <v>14.399999999999986</v>
      </c>
      <c r="G23">
        <v>-23.399999999999981</v>
      </c>
      <c r="H23">
        <v>2.799999999999998</v>
      </c>
      <c r="K23" t="str">
        <f ca="1">_xlfn.FORMULATEXT(K3)</f>
        <v>=B3:B7-G$3</v>
      </c>
      <c r="S23" s="21" t="str">
        <f ca="1">_xlfn.FORMULATEXT(S3)</f>
        <v>=ABS(MMULT(B3:D22,$O$17:$O$19))</v>
      </c>
      <c r="W23" t="str">
        <f ca="1">_xlfn.FORMULATEXT(W22)</f>
        <v>=SUM(W19:W21)</v>
      </c>
      <c r="Z23" t="str">
        <f ca="1">_xlfn.FORMULATEXT(Z19)</f>
        <v>=W19/$W$22</v>
      </c>
    </row>
    <row r="24" spans="1:44" x14ac:dyDescent="0.3">
      <c r="A24" s="2" t="s">
        <v>162</v>
      </c>
      <c r="B24" s="8">
        <v>4</v>
      </c>
      <c r="C24" t="s">
        <v>161</v>
      </c>
      <c r="F24" t="str">
        <f ca="1">_xlfn.FORMULATEXT(F21)</f>
        <v>=5*MMULT(TRANSPOSE(G13:I16),G13:I16)</v>
      </c>
      <c r="T24" s="21" t="str">
        <f ca="1">_xlfn.FORMULATEXT(T3)</f>
        <v>=MMULT(B3:D22,$P$17:$P$19)</v>
      </c>
      <c r="U24" s="21"/>
    </row>
    <row r="25" spans="1:44" x14ac:dyDescent="0.3">
      <c r="A25" s="2" t="s">
        <v>193</v>
      </c>
      <c r="B25" s="8">
        <v>5</v>
      </c>
      <c r="C25" t="s">
        <v>192</v>
      </c>
    </row>
    <row r="26" spans="1:44" x14ac:dyDescent="0.3">
      <c r="A26" s="2" t="s">
        <v>191</v>
      </c>
      <c r="B26" s="8">
        <v>20</v>
      </c>
      <c r="C26" t="s">
        <v>151</v>
      </c>
    </row>
    <row r="27" spans="1:44" ht="16.8" x14ac:dyDescent="0.35">
      <c r="O27" t="s">
        <v>147</v>
      </c>
      <c r="T27" s="26"/>
    </row>
    <row r="28" spans="1:44" x14ac:dyDescent="0.3">
      <c r="O28" cm="1">
        <f t="array" ref="O28:Q30">MINVERSE(_xlfn.ANCHORARRAY(O3))</f>
        <v>1.7420494521075205E-3</v>
      </c>
      <c r="P28">
        <v>2.2319267239956367E-4</v>
      </c>
      <c r="Q28">
        <v>2.6289831125631486E-3</v>
      </c>
      <c r="U28" s="26"/>
    </row>
    <row r="29" spans="1:44" x14ac:dyDescent="0.3">
      <c r="O29">
        <v>2.2319267239956361E-4</v>
      </c>
      <c r="P29">
        <v>5.2247770061023089E-4</v>
      </c>
      <c r="Q29">
        <v>1.6960766754111304E-3</v>
      </c>
    </row>
    <row r="30" spans="1:44" x14ac:dyDescent="0.3">
      <c r="O30">
        <v>2.6289831125631486E-3</v>
      </c>
      <c r="P30">
        <v>1.6960766754111306E-3</v>
      </c>
      <c r="Q30">
        <v>2.9447504536856708E-2</v>
      </c>
      <c r="V30" s="26"/>
    </row>
  </sheetData>
  <mergeCells count="2">
    <mergeCell ref="AS12:AT12"/>
    <mergeCell ref="AS11:AT1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98D1A-2D3C-4BA5-A804-BE08C4313CD2}">
  <dimension ref="A1:BD29"/>
  <sheetViews>
    <sheetView workbookViewId="0">
      <selection activeCell="Z21" sqref="Z21"/>
    </sheetView>
  </sheetViews>
  <sheetFormatPr defaultRowHeight="14.4" x14ac:dyDescent="0.3"/>
  <cols>
    <col min="1" max="1" width="5.88671875" customWidth="1"/>
    <col min="6" max="6" width="8" customWidth="1"/>
    <col min="11" max="11" width="5.44140625" customWidth="1"/>
    <col min="16" max="16" width="11.88671875" customWidth="1"/>
    <col min="20" max="20" width="6.33203125" customWidth="1"/>
    <col min="25" max="25" width="4.88671875" customWidth="1"/>
    <col min="30" max="30" width="13.33203125" customWidth="1"/>
    <col min="31" max="31" width="11" customWidth="1"/>
    <col min="33" max="33" width="4.109375" customWidth="1"/>
  </cols>
  <sheetData>
    <row r="1" spans="1:56" x14ac:dyDescent="0.3">
      <c r="G1" t="s">
        <v>318</v>
      </c>
      <c r="U1" t="s">
        <v>317</v>
      </c>
    </row>
    <row r="2" spans="1:56" x14ac:dyDescent="0.3">
      <c r="B2" t="s">
        <v>316</v>
      </c>
      <c r="G2" t="s">
        <v>314</v>
      </c>
      <c r="L2" t="s">
        <v>313</v>
      </c>
      <c r="Q2" t="s">
        <v>315</v>
      </c>
      <c r="U2" t="s">
        <v>314</v>
      </c>
      <c r="Z2" t="s">
        <v>313</v>
      </c>
      <c r="AO2" s="345" t="s">
        <v>312</v>
      </c>
      <c r="AP2" s="346"/>
      <c r="AQ2" s="346"/>
      <c r="AR2" s="347"/>
      <c r="AS2" s="345" t="s">
        <v>311</v>
      </c>
      <c r="AT2" s="346"/>
      <c r="AU2" s="346"/>
      <c r="AV2" s="347"/>
      <c r="AW2" s="345" t="s">
        <v>310</v>
      </c>
      <c r="AX2" s="346"/>
      <c r="AY2" s="346"/>
      <c r="AZ2" s="347"/>
      <c r="BA2" s="345" t="s">
        <v>309</v>
      </c>
      <c r="BB2" s="346"/>
      <c r="BC2" s="346"/>
      <c r="BD2" s="347"/>
    </row>
    <row r="3" spans="1:56" x14ac:dyDescent="0.3">
      <c r="B3" s="8" t="s">
        <v>178</v>
      </c>
      <c r="C3" s="8" t="s">
        <v>177</v>
      </c>
      <c r="D3" s="8" t="s">
        <v>176</v>
      </c>
      <c r="E3" s="8" t="s">
        <v>301</v>
      </c>
      <c r="G3" s="8" t="s">
        <v>178</v>
      </c>
      <c r="H3" s="8" t="s">
        <v>177</v>
      </c>
      <c r="I3" s="8" t="s">
        <v>176</v>
      </c>
      <c r="J3" s="8" t="s">
        <v>301</v>
      </c>
      <c r="L3" s="8" t="s">
        <v>308</v>
      </c>
      <c r="M3" s="8" t="s">
        <v>307</v>
      </c>
      <c r="N3" s="8" t="s">
        <v>306</v>
      </c>
      <c r="O3" s="8" t="s">
        <v>305</v>
      </c>
      <c r="P3" s="8" t="s">
        <v>303</v>
      </c>
      <c r="Q3" s="112" t="s">
        <v>299</v>
      </c>
      <c r="R3" s="112" t="s">
        <v>304</v>
      </c>
      <c r="S3" s="112"/>
      <c r="U3" s="8" t="s">
        <v>178</v>
      </c>
      <c r="V3" s="8" t="s">
        <v>177</v>
      </c>
      <c r="W3" s="8" t="s">
        <v>176</v>
      </c>
      <c r="X3" s="8" t="s">
        <v>301</v>
      </c>
      <c r="Y3" s="8"/>
      <c r="Z3" s="8" t="s">
        <v>178</v>
      </c>
      <c r="AA3" s="8" t="s">
        <v>177</v>
      </c>
      <c r="AB3" s="8" t="s">
        <v>176</v>
      </c>
      <c r="AC3" s="8" t="s">
        <v>301</v>
      </c>
      <c r="AD3" t="s">
        <v>303</v>
      </c>
      <c r="AE3" t="s">
        <v>302</v>
      </c>
      <c r="AF3" t="s">
        <v>16</v>
      </c>
      <c r="AO3" s="191" t="s">
        <v>178</v>
      </c>
      <c r="AP3" s="151" t="s">
        <v>177</v>
      </c>
      <c r="AQ3" s="151" t="s">
        <v>176</v>
      </c>
      <c r="AR3" s="150" t="s">
        <v>301</v>
      </c>
      <c r="AS3" s="191" t="s">
        <v>178</v>
      </c>
      <c r="AT3" s="151" t="s">
        <v>177</v>
      </c>
      <c r="AU3" s="151" t="s">
        <v>176</v>
      </c>
      <c r="AV3" s="150" t="s">
        <v>301</v>
      </c>
      <c r="AW3" s="191" t="s">
        <v>178</v>
      </c>
      <c r="AX3" s="151" t="s">
        <v>177</v>
      </c>
      <c r="AY3" s="151" t="s">
        <v>176</v>
      </c>
      <c r="AZ3" s="150" t="s">
        <v>301</v>
      </c>
      <c r="BA3" s="191" t="s">
        <v>178</v>
      </c>
      <c r="BB3" s="151" t="s">
        <v>177</v>
      </c>
      <c r="BC3" s="151" t="s">
        <v>176</v>
      </c>
      <c r="BD3" s="150" t="s">
        <v>301</v>
      </c>
    </row>
    <row r="4" spans="1:56" x14ac:dyDescent="0.3">
      <c r="A4">
        <v>1</v>
      </c>
      <c r="B4" s="331">
        <v>19</v>
      </c>
      <c r="C4" s="330">
        <v>12</v>
      </c>
      <c r="D4" s="330">
        <v>12</v>
      </c>
      <c r="E4" s="329">
        <v>19</v>
      </c>
      <c r="F4" s="2">
        <v>1</v>
      </c>
      <c r="G4" s="320" cm="1">
        <f t="array" ref="G4:G18">STANDARDIZE(B4:B18,B$20,B$21)</f>
        <v>0.89757039765545399</v>
      </c>
      <c r="H4" s="319" cm="1">
        <f t="array" ref="H4:H18">STANDARDIZE(C4:C18,C$20,C$21)</f>
        <v>-0.87065333229839537</v>
      </c>
      <c r="I4" s="319" cm="1">
        <f t="array" ref="I4:I18">STANDARDIZE(D4:D18,D$20,D$21)</f>
        <v>-1.0420640267744758</v>
      </c>
      <c r="J4" s="318" cm="1">
        <f t="array" ref="J4:J18">STANDARDIZE(E4:E18,E$20,E$21)</f>
        <v>1.2943578789656962</v>
      </c>
      <c r="L4" s="325">
        <f t="shared" ref="L4:L18" si="0">SUMXMY2($G4:$J4,$G$22:$J$22)</f>
        <v>0</v>
      </c>
      <c r="M4" s="327">
        <f t="shared" ref="M4:M18" si="1">SUMXMY2($G4:$J4,$G$23:$J$23)</f>
        <v>8.7781343347759986</v>
      </c>
      <c r="N4" s="327">
        <f t="shared" ref="N4:N18" si="2">SUMXMY2($G4:$J4,$G$24:$J$24)</f>
        <v>9.5766519961756931</v>
      </c>
      <c r="O4" s="326">
        <f t="shared" ref="O4:O18" si="3">SUMXMY2($G4:$J4,$G$25:$J$25)</f>
        <v>4.3956205402157362</v>
      </c>
      <c r="P4">
        <f t="shared" ref="P4:P18" si="4">MIN(L4:O4)</f>
        <v>0</v>
      </c>
      <c r="Q4" s="8">
        <f t="shared" ref="Q4:Q18" si="5">MATCH(P4,L4:O4,0)</f>
        <v>1</v>
      </c>
      <c r="R4" s="8">
        <f t="shared" ref="R4:R18" si="6">AVERAGE(B4:E4)</f>
        <v>15.5</v>
      </c>
      <c r="S4" s="8"/>
      <c r="T4" s="2">
        <v>1</v>
      </c>
      <c r="U4" s="320" cm="1">
        <f t="array" ref="U4:U18">STANDARDIZE(B4:B18,B$20,B$21)</f>
        <v>0.89757039765545399</v>
      </c>
      <c r="V4" s="319" cm="1">
        <f t="array" ref="V4:V18">STANDARDIZE(C4:C18,C$20,C$21)</f>
        <v>-0.87065333229839537</v>
      </c>
      <c r="W4" s="319" cm="1">
        <f t="array" ref="W4:W18">STANDARDIZE(D4:D18,D$20,D$21)</f>
        <v>-1.0420640267744758</v>
      </c>
      <c r="X4" s="318" cm="1">
        <f t="array" ref="X4:X18">STANDARDIZE(E4:E18,E$20,E$21)</f>
        <v>1.2943578789656962</v>
      </c>
      <c r="Y4" s="8"/>
      <c r="Z4" s="328">
        <f t="shared" ref="Z4:Z18" si="7">SUMXMY2($U4:$X4,$U$22:$X$22)</f>
        <v>3.0609845317725708</v>
      </c>
      <c r="AA4" s="327">
        <f t="shared" ref="AA4:AA18" si="8">SUMXMY2($U4:$X4,$U$23:$X$23)</f>
        <v>9.1186768394648752</v>
      </c>
      <c r="AB4" s="327">
        <f t="shared" ref="AB4:AB18" si="9">SUMXMY2($U4:$X4,$U$24:$X$24)</f>
        <v>9.2429077228037766</v>
      </c>
      <c r="AC4" s="326">
        <f t="shared" ref="AC4:AC18" si="10">SUMXMY2($U4:$X4,$U$25:$X$25)</f>
        <v>0.61140667707926566</v>
      </c>
      <c r="AD4" s="26">
        <f t="shared" ref="AD4:AD18" si="11">MIN(Z4:AC4)</f>
        <v>0.61140667707926566</v>
      </c>
      <c r="AE4" s="8">
        <f t="shared" ref="AE4:AE18" si="12">MATCH(AD4,Z4:AC4,0)</f>
        <v>4</v>
      </c>
      <c r="AF4" cm="1">
        <f t="array" ref="AF4">_xlfn.IFS(AE4=1,AVERAGE(B4:E4),AE4=2,AVERAGE(B4:E4),AE4=3,AVERAGE(B4:E4),AE4=4,AVERAGE(B4:E4))</f>
        <v>15.5</v>
      </c>
      <c r="AN4">
        <v>1</v>
      </c>
      <c r="AO4" s="325" t="str" cm="1">
        <f t="array" ref="AO4">IF($AE4=1,$B4:$E4,"")</f>
        <v/>
      </c>
      <c r="AP4" s="310"/>
      <c r="AQ4" s="310"/>
      <c r="AR4" s="309"/>
      <c r="AS4" s="325" t="str" cm="1">
        <f t="array" ref="AS4">IF($AE4=2,$B4:$E4,"")</f>
        <v/>
      </c>
      <c r="AT4" s="310"/>
      <c r="AU4" s="310"/>
      <c r="AV4" s="309"/>
      <c r="AW4" s="325" t="str" cm="1">
        <f t="array" ref="AW4">IF($AE4=3,$B4:$E4,"")</f>
        <v/>
      </c>
      <c r="AX4" s="310"/>
      <c r="AY4" s="310"/>
      <c r="AZ4" s="310"/>
      <c r="BA4" s="325" cm="1">
        <f t="array" ref="BA4:BD4">IF($AE4=4,$B4:$E4,"")</f>
        <v>19</v>
      </c>
      <c r="BB4" s="310">
        <v>12</v>
      </c>
      <c r="BC4" s="310">
        <v>12</v>
      </c>
      <c r="BD4" s="309">
        <v>19</v>
      </c>
    </row>
    <row r="5" spans="1:56" x14ac:dyDescent="0.3">
      <c r="A5">
        <v>2</v>
      </c>
      <c r="B5" s="139">
        <v>15</v>
      </c>
      <c r="C5" s="8">
        <v>16</v>
      </c>
      <c r="D5" s="8">
        <v>16</v>
      </c>
      <c r="E5" s="323">
        <v>16</v>
      </c>
      <c r="F5" s="2">
        <v>2</v>
      </c>
      <c r="G5" s="213">
        <v>-0.55794916611014811</v>
      </c>
      <c r="H5" s="21">
        <v>0.43532666614919796</v>
      </c>
      <c r="I5" s="21">
        <v>0.37893237337253649</v>
      </c>
      <c r="J5" s="317">
        <v>-0.4187628431947848</v>
      </c>
      <c r="L5" s="161">
        <f t="shared" si="0"/>
        <v>8.7781343347759986</v>
      </c>
      <c r="M5">
        <f t="shared" si="1"/>
        <v>0</v>
      </c>
      <c r="N5" s="26">
        <f t="shared" si="2"/>
        <v>3.531964571754949</v>
      </c>
      <c r="O5" s="322">
        <f t="shared" si="3"/>
        <v>1.4608379315200879</v>
      </c>
      <c r="P5">
        <f t="shared" si="4"/>
        <v>0</v>
      </c>
      <c r="Q5" s="8">
        <f t="shared" si="5"/>
        <v>2</v>
      </c>
      <c r="R5" s="8">
        <f t="shared" si="6"/>
        <v>15.75</v>
      </c>
      <c r="S5" s="8"/>
      <c r="T5" s="2">
        <v>2</v>
      </c>
      <c r="U5" s="213">
        <v>-0.55794916611014811</v>
      </c>
      <c r="V5" s="21">
        <v>0.43532666614919796</v>
      </c>
      <c r="W5" s="21">
        <v>0.37893237337253649</v>
      </c>
      <c r="X5" s="317">
        <v>-0.4187628431947848</v>
      </c>
      <c r="Y5" s="8"/>
      <c r="Z5" s="161">
        <f t="shared" si="7"/>
        <v>6.9791690337726591</v>
      </c>
      <c r="AA5" s="226">
        <f t="shared" si="8"/>
        <v>4.9599382645418917</v>
      </c>
      <c r="AB5" s="26">
        <f t="shared" si="9"/>
        <v>0.55888786437023519</v>
      </c>
      <c r="AC5" s="322">
        <f t="shared" si="10"/>
        <v>6.5175183644519095</v>
      </c>
      <c r="AD5" s="26">
        <f t="shared" si="11"/>
        <v>0.55888786437023519</v>
      </c>
      <c r="AE5" s="8">
        <f t="shared" si="12"/>
        <v>3</v>
      </c>
      <c r="AF5" cm="1">
        <f t="array" ref="AF5">_xlfn.IFS(AE5=1,AVERAGE(B5:E5),AE5=2,AVERAGE(B5:E5),AE5=3,AVERAGE(B5:E5),AE5=4,AVERAGE(B5:E5))</f>
        <v>15.75</v>
      </c>
      <c r="AN5">
        <v>2</v>
      </c>
      <c r="AO5" s="10" t="str" cm="1">
        <f t="array" ref="AO5">IF($AE5=1,$B5:$E5,"")</f>
        <v/>
      </c>
      <c r="AP5" t="str">
        <f>IF($AE5=1,$C5,"")</f>
        <v/>
      </c>
      <c r="AQ5" t="str">
        <f>IF($AE5=1,$D5,"")</f>
        <v/>
      </c>
      <c r="AR5" s="306" t="str">
        <f>IF($AE5=1,$E5,"")</f>
        <v/>
      </c>
      <c r="AS5" s="10" t="str" cm="1">
        <f t="array" ref="AS5">IF($AE5=2,$B5:$E5,"")</f>
        <v/>
      </c>
      <c r="AV5" s="306"/>
      <c r="AW5" s="10" cm="1">
        <f t="array" ref="AW5:AZ5">IF($AE5=3,$B5:$E5,"")</f>
        <v>15</v>
      </c>
      <c r="AX5">
        <v>16</v>
      </c>
      <c r="AY5">
        <v>16</v>
      </c>
      <c r="AZ5">
        <v>16</v>
      </c>
      <c r="BA5" s="10" t="str" cm="1">
        <f t="array" ref="BA5">IF($AE5=4,$B5:$E5,"")</f>
        <v/>
      </c>
      <c r="BB5" t="str" cm="1">
        <f t="array" ref="BB5">IF($AE5=4,$B5:$E5,"")</f>
        <v/>
      </c>
      <c r="BC5" t="str" cm="1">
        <f t="array" ref="BC5">IF($AE5=4,$B5:$E5,"")</f>
        <v/>
      </c>
      <c r="BD5" s="306" t="str" cm="1">
        <f t="array" ref="BD5">IF($AE5=4,$B5:$E5,"")</f>
        <v/>
      </c>
    </row>
    <row r="6" spans="1:56" x14ac:dyDescent="0.3">
      <c r="A6">
        <v>3</v>
      </c>
      <c r="B6" s="139">
        <v>16</v>
      </c>
      <c r="C6" s="8">
        <v>13</v>
      </c>
      <c r="D6" s="8">
        <v>13</v>
      </c>
      <c r="E6" s="323">
        <v>14</v>
      </c>
      <c r="F6" s="2">
        <v>3</v>
      </c>
      <c r="G6" s="213">
        <v>-0.19406927516874753</v>
      </c>
      <c r="H6" s="21">
        <v>-0.54415833268649705</v>
      </c>
      <c r="I6" s="21">
        <v>-0.68681492673772271</v>
      </c>
      <c r="J6" s="317">
        <v>-1.5608433246351054</v>
      </c>
      <c r="L6" s="161">
        <f t="shared" si="0"/>
        <v>9.5766519961756931</v>
      </c>
      <c r="M6" s="26">
        <f t="shared" si="1"/>
        <v>3.531964571754949</v>
      </c>
      <c r="N6">
        <f t="shared" si="2"/>
        <v>0</v>
      </c>
      <c r="O6" s="322">
        <f t="shared" si="3"/>
        <v>1.6695573089669768</v>
      </c>
      <c r="P6">
        <f t="shared" si="4"/>
        <v>0</v>
      </c>
      <c r="Q6" s="8">
        <f t="shared" si="5"/>
        <v>3</v>
      </c>
      <c r="R6" s="8">
        <f t="shared" si="6"/>
        <v>14</v>
      </c>
      <c r="S6" s="8"/>
      <c r="T6" s="2">
        <v>3</v>
      </c>
      <c r="U6" s="213">
        <v>-0.19406927516874753</v>
      </c>
      <c r="V6" s="21">
        <v>-0.54415833268649705</v>
      </c>
      <c r="W6" s="21">
        <v>-0.68681492673772271</v>
      </c>
      <c r="X6" s="317">
        <v>-1.5608433246351054</v>
      </c>
      <c r="Y6" s="8"/>
      <c r="Z6" s="161">
        <f t="shared" si="7"/>
        <v>3.1074316784499501</v>
      </c>
      <c r="AA6" s="26">
        <f t="shared" si="8"/>
        <v>7.145893216911487</v>
      </c>
      <c r="AB6" s="226">
        <f t="shared" si="9"/>
        <v>6.7920057093031172</v>
      </c>
      <c r="AC6" s="322">
        <f t="shared" si="10"/>
        <v>9.4700530114041186</v>
      </c>
      <c r="AD6" s="26">
        <f t="shared" si="11"/>
        <v>3.1074316784499501</v>
      </c>
      <c r="AE6" s="8">
        <f t="shared" si="12"/>
        <v>1</v>
      </c>
      <c r="AF6" cm="1">
        <f t="array" ref="AF6">_xlfn.IFS(AE6=1,AVERAGE(B6:E6),AE6=2,AVERAGE(B6:E6),AE6=3,AVERAGE(B6:E6),AE6=4,AVERAGE(B6:E6))</f>
        <v>14</v>
      </c>
      <c r="AN6">
        <v>3</v>
      </c>
      <c r="AO6" s="10" cm="1">
        <f t="array" ref="AO6:AR6">IF($AE6=1,$B6:$E6,"")</f>
        <v>16</v>
      </c>
      <c r="AP6">
        <v>13</v>
      </c>
      <c r="AQ6">
        <v>13</v>
      </c>
      <c r="AR6" s="306">
        <v>14</v>
      </c>
      <c r="AS6" s="10" t="str" cm="1">
        <f t="array" ref="AS6">IF($AE6=2,$B6:$E6,"")</f>
        <v/>
      </c>
      <c r="AV6" s="306"/>
      <c r="AW6" s="10" t="str" cm="1">
        <f t="array" ref="AW6">IF($AE6=3,$B6:$E6,"")</f>
        <v/>
      </c>
      <c r="BA6" s="10" t="str" cm="1">
        <f t="array" ref="BA6">IF($AE6=4,$B6:$E6,"")</f>
        <v/>
      </c>
      <c r="BB6" t="str" cm="1">
        <f t="array" ref="BB6">IF($AE6=4,$B6:$E6,"")</f>
        <v/>
      </c>
      <c r="BC6" t="str" cm="1">
        <f t="array" ref="BC6">IF($AE6=4,$B6:$E6,"")</f>
        <v/>
      </c>
      <c r="BD6" s="306" t="str" cm="1">
        <f t="array" ref="BD6">IF($AE6=4,$B6:$E6,"")</f>
        <v/>
      </c>
    </row>
    <row r="7" spans="1:56" x14ac:dyDescent="0.3">
      <c r="A7">
        <v>4</v>
      </c>
      <c r="B7" s="139">
        <v>17</v>
      </c>
      <c r="C7" s="8">
        <v>14</v>
      </c>
      <c r="D7" s="8">
        <v>14</v>
      </c>
      <c r="E7" s="323">
        <v>16</v>
      </c>
      <c r="F7" s="2">
        <v>4</v>
      </c>
      <c r="G7" s="213">
        <v>0.16981061577265297</v>
      </c>
      <c r="H7" s="21">
        <v>-0.21766333307459867</v>
      </c>
      <c r="I7" s="21">
        <v>-0.33156582670096962</v>
      </c>
      <c r="J7" s="317">
        <v>-0.4187628431947848</v>
      </c>
      <c r="L7" s="161">
        <f t="shared" si="0"/>
        <v>4.3956205402157362</v>
      </c>
      <c r="M7" s="26">
        <f t="shared" si="1"/>
        <v>1.4608379315200879</v>
      </c>
      <c r="N7" s="26">
        <f t="shared" si="2"/>
        <v>1.6695573089669768</v>
      </c>
      <c r="O7" s="306">
        <f t="shared" si="3"/>
        <v>0</v>
      </c>
      <c r="P7">
        <f t="shared" si="4"/>
        <v>0</v>
      </c>
      <c r="Q7" s="8">
        <f t="shared" si="5"/>
        <v>4</v>
      </c>
      <c r="R7" s="8">
        <f t="shared" si="6"/>
        <v>15.25</v>
      </c>
      <c r="S7" s="8"/>
      <c r="T7" s="2">
        <v>4</v>
      </c>
      <c r="U7" s="213">
        <v>0.16981061577265297</v>
      </c>
      <c r="V7" s="21">
        <v>-0.21766333307459867</v>
      </c>
      <c r="W7" s="21">
        <v>-0.33156582670096962</v>
      </c>
      <c r="X7" s="317">
        <v>-0.4187628431947848</v>
      </c>
      <c r="Y7" s="8"/>
      <c r="Z7" s="161">
        <f t="shared" si="7"/>
        <v>2.0918475469047033</v>
      </c>
      <c r="AA7" s="26">
        <f t="shared" si="8"/>
        <v>4.1110783161354707</v>
      </c>
      <c r="AB7" s="26">
        <f t="shared" si="9"/>
        <v>2.9509294272843092</v>
      </c>
      <c r="AC7" s="324">
        <f t="shared" si="10"/>
        <v>3.5710158935933234</v>
      </c>
      <c r="AD7" s="26">
        <f t="shared" si="11"/>
        <v>2.0918475469047033</v>
      </c>
      <c r="AE7" s="8">
        <f t="shared" si="12"/>
        <v>1</v>
      </c>
      <c r="AF7" cm="1">
        <f t="array" ref="AF7">_xlfn.IFS(AE7=1,AVERAGE(B7:E7),AE7=2,AVERAGE(B7:E7),AE7=3,AVERAGE(B7:E7),AE7=4,AVERAGE(B7:E7))</f>
        <v>15.25</v>
      </c>
      <c r="AN7">
        <v>4</v>
      </c>
      <c r="AO7" s="10" cm="1">
        <f t="array" ref="AO7:AR7">IF($AE7=1,$B7:$E7,"")</f>
        <v>17</v>
      </c>
      <c r="AP7">
        <v>14</v>
      </c>
      <c r="AQ7">
        <v>14</v>
      </c>
      <c r="AR7" s="306">
        <v>16</v>
      </c>
      <c r="AS7" s="10" t="str" cm="1">
        <f t="array" ref="AS7">IF($AE7=2,$B7:$E7,"")</f>
        <v/>
      </c>
      <c r="AV7" s="306"/>
      <c r="AW7" s="10" t="str" cm="1">
        <f t="array" ref="AW7">IF($AE7=3,$B7:$E7,"")</f>
        <v/>
      </c>
      <c r="BA7" s="10" t="str" cm="1">
        <f t="array" ref="BA7">IF($AE7=4,$B7:$E7,"")</f>
        <v/>
      </c>
      <c r="BB7" t="str" cm="1">
        <f t="array" ref="BB7">IF($AE7=4,$B7:$E7,"")</f>
        <v/>
      </c>
      <c r="BC7" t="str" cm="1">
        <f t="array" ref="BC7">IF($AE7=4,$B7:$E7,"")</f>
        <v/>
      </c>
      <c r="BD7" s="306" t="str" cm="1">
        <f t="array" ref="BD7">IF($AE7=4,$B7:$E7,"")</f>
        <v/>
      </c>
    </row>
    <row r="8" spans="1:56" x14ac:dyDescent="0.3">
      <c r="A8">
        <v>5</v>
      </c>
      <c r="B8" s="139">
        <v>19</v>
      </c>
      <c r="C8" s="8">
        <v>12</v>
      </c>
      <c r="D8" s="8">
        <v>19</v>
      </c>
      <c r="E8" s="323">
        <v>16</v>
      </c>
      <c r="F8" s="2">
        <v>5</v>
      </c>
      <c r="G8" s="213">
        <v>0.89757039765545399</v>
      </c>
      <c r="H8" s="21">
        <v>-0.87065333229839537</v>
      </c>
      <c r="I8" s="21">
        <v>1.4446796734827958</v>
      </c>
      <c r="J8" s="317">
        <v>-0.4187628431947848</v>
      </c>
      <c r="L8" s="161">
        <f t="shared" si="0"/>
        <v>9.1186768394648752</v>
      </c>
      <c r="M8" s="26">
        <f t="shared" si="1"/>
        <v>4.9599382645418917</v>
      </c>
      <c r="N8" s="26">
        <f t="shared" si="2"/>
        <v>7.145893216911487</v>
      </c>
      <c r="O8" s="322">
        <f t="shared" si="3"/>
        <v>4.1110783161354707</v>
      </c>
      <c r="P8" s="26">
        <f t="shared" si="4"/>
        <v>4.1110783161354707</v>
      </c>
      <c r="Q8" s="8">
        <f t="shared" si="5"/>
        <v>4</v>
      </c>
      <c r="R8" s="8">
        <f t="shared" si="6"/>
        <v>16.5</v>
      </c>
      <c r="S8" s="8"/>
      <c r="T8" s="2">
        <v>5</v>
      </c>
      <c r="U8" s="213">
        <v>0.89757039765545399</v>
      </c>
      <c r="V8" s="21">
        <v>-0.87065333229839537</v>
      </c>
      <c r="W8" s="21">
        <v>1.4446796734827958</v>
      </c>
      <c r="X8" s="317">
        <v>-0.4187628431947848</v>
      </c>
      <c r="Y8" s="8"/>
      <c r="Z8" s="161">
        <f t="shared" si="7"/>
        <v>8.0769230769230713</v>
      </c>
      <c r="AA8" s="26">
        <f t="shared" si="8"/>
        <v>0</v>
      </c>
      <c r="AB8" s="26">
        <f t="shared" si="9"/>
        <v>5.6144064686231765</v>
      </c>
      <c r="AC8" s="322">
        <f t="shared" si="10"/>
        <v>6.1964296703902964</v>
      </c>
      <c r="AD8" s="26">
        <f t="shared" si="11"/>
        <v>0</v>
      </c>
      <c r="AE8" s="8">
        <f t="shared" si="12"/>
        <v>2</v>
      </c>
      <c r="AF8" cm="1">
        <f t="array" ref="AF8">_xlfn.IFS(AE8=1,AVERAGE(B8:E8),AE8=2,AVERAGE(B8:E8),AE8=3,AVERAGE(B8:E8),AE8=4,AVERAGE(B8:E8))</f>
        <v>16.5</v>
      </c>
      <c r="AN8">
        <v>5</v>
      </c>
      <c r="AO8" s="10" t="str" cm="1">
        <f t="array" ref="AO8">IF($AE8=1,$B8:$E8,"")</f>
        <v/>
      </c>
      <c r="AR8" s="306"/>
      <c r="AS8" s="10" cm="1">
        <f t="array" ref="AS8:AV8">IF($AE8=2,$B8:$E8,"")</f>
        <v>19</v>
      </c>
      <c r="AT8">
        <v>12</v>
      </c>
      <c r="AU8">
        <v>19</v>
      </c>
      <c r="AV8" s="306">
        <v>16</v>
      </c>
      <c r="AW8" s="10" t="str" cm="1">
        <f t="array" ref="AW8">IF($AE8=3,$B8:$E8,"")</f>
        <v/>
      </c>
      <c r="BA8" s="10" t="str" cm="1">
        <f t="array" ref="BA8">IF($AE8=4,$B8:$E8,"")</f>
        <v/>
      </c>
      <c r="BB8" t="str" cm="1">
        <f t="array" ref="BB8">IF($AE8=4,$B8:$E8,"")</f>
        <v/>
      </c>
      <c r="BC8" t="str" cm="1">
        <f t="array" ref="BC8">IF($AE8=4,$B8:$E8,"")</f>
        <v/>
      </c>
      <c r="BD8" s="306" t="str" cm="1">
        <f t="array" ref="BD8">IF($AE8=4,$B8:$E8,"")</f>
        <v/>
      </c>
    </row>
    <row r="9" spans="1:56" x14ac:dyDescent="0.3">
      <c r="A9">
        <v>6</v>
      </c>
      <c r="B9" s="139">
        <v>19</v>
      </c>
      <c r="C9" s="8">
        <v>13</v>
      </c>
      <c r="D9" s="8">
        <v>14</v>
      </c>
      <c r="E9" s="323">
        <v>19</v>
      </c>
      <c r="F9" s="2">
        <v>6</v>
      </c>
      <c r="G9" s="213">
        <v>0.89757039765545399</v>
      </c>
      <c r="H9" s="21">
        <v>-0.54415833268649705</v>
      </c>
      <c r="I9" s="21">
        <v>-0.33156582670096962</v>
      </c>
      <c r="J9" s="317">
        <v>1.2943578789656962</v>
      </c>
      <c r="L9" s="161">
        <f t="shared" si="0"/>
        <v>0.61140667707926566</v>
      </c>
      <c r="M9" s="26">
        <f t="shared" si="1"/>
        <v>6.5175183644519095</v>
      </c>
      <c r="N9" s="26">
        <f t="shared" si="2"/>
        <v>9.4700530114041186</v>
      </c>
      <c r="O9" s="322">
        <f t="shared" si="3"/>
        <v>3.5710158935933234</v>
      </c>
      <c r="P9" s="26">
        <f t="shared" si="4"/>
        <v>0.61140667707926566</v>
      </c>
      <c r="Q9" s="8">
        <f t="shared" si="5"/>
        <v>1</v>
      </c>
      <c r="R9" s="8">
        <f t="shared" si="6"/>
        <v>16.25</v>
      </c>
      <c r="S9" s="8"/>
      <c r="T9" s="2">
        <v>6</v>
      </c>
      <c r="U9" s="213">
        <v>0.89757039765545399</v>
      </c>
      <c r="V9" s="21">
        <v>-0.54415833268649705</v>
      </c>
      <c r="W9" s="21">
        <v>-0.33156582670096962</v>
      </c>
      <c r="X9" s="317">
        <v>1.2943578789656962</v>
      </c>
      <c r="Y9" s="8"/>
      <c r="Z9" s="161">
        <f t="shared" si="7"/>
        <v>4.1771989011595281</v>
      </c>
      <c r="AA9" s="26">
        <f t="shared" si="8"/>
        <v>6.1964296703902964</v>
      </c>
      <c r="AB9" s="26">
        <f t="shared" si="9"/>
        <v>6.2642860906288469</v>
      </c>
      <c r="AC9" s="322">
        <f t="shared" si="10"/>
        <v>0</v>
      </c>
      <c r="AD9" s="26">
        <f t="shared" si="11"/>
        <v>0</v>
      </c>
      <c r="AE9" s="8">
        <f t="shared" si="12"/>
        <v>4</v>
      </c>
      <c r="AF9" cm="1">
        <f t="array" ref="AF9">_xlfn.IFS(AE9=1,AVERAGE(B9:E9),AE9=2,AVERAGE(B9:E9),AE9=3,AVERAGE(B9:E9),AE9=4,AVERAGE(B9:E9))</f>
        <v>16.25</v>
      </c>
      <c r="AN9">
        <v>6</v>
      </c>
      <c r="AO9" s="10" t="str" cm="1">
        <f t="array" ref="AO9">IF($AE9=1,$B9:$E9,"")</f>
        <v/>
      </c>
      <c r="AR9" s="306"/>
      <c r="AS9" s="10" t="str" cm="1">
        <f t="array" ref="AS9">IF($AE9=2,$B9:$E9,"")</f>
        <v/>
      </c>
      <c r="AV9" s="306"/>
      <c r="AW9" s="10" t="str" cm="1">
        <f t="array" ref="AW9">IF($AE9=3,$B9:$E9,"")</f>
        <v/>
      </c>
      <c r="BA9" s="10" cm="1">
        <f t="array" ref="BA9:BD9">IF($AE9=4,$B9:$E9,"")</f>
        <v>19</v>
      </c>
      <c r="BB9">
        <v>13</v>
      </c>
      <c r="BC9">
        <v>14</v>
      </c>
      <c r="BD9" s="306">
        <v>19</v>
      </c>
    </row>
    <row r="10" spans="1:56" x14ac:dyDescent="0.3">
      <c r="A10">
        <v>7</v>
      </c>
      <c r="B10" s="139">
        <v>15</v>
      </c>
      <c r="C10" s="8">
        <v>13</v>
      </c>
      <c r="D10" s="8">
        <v>18</v>
      </c>
      <c r="E10" s="323">
        <v>18</v>
      </c>
      <c r="F10" s="2">
        <v>7</v>
      </c>
      <c r="G10" s="213">
        <v>-0.55794916611014811</v>
      </c>
      <c r="H10" s="21">
        <v>-0.54415833268649705</v>
      </c>
      <c r="I10" s="21">
        <v>1.0894305734460425</v>
      </c>
      <c r="J10" s="317">
        <v>0.72331763824553585</v>
      </c>
      <c r="L10" s="161">
        <f t="shared" si="0"/>
        <v>7.0944923725669486</v>
      </c>
      <c r="M10" s="26">
        <f t="shared" si="1"/>
        <v>2.7685463813388083</v>
      </c>
      <c r="N10" s="26">
        <f t="shared" si="2"/>
        <v>8.5048479563024202</v>
      </c>
      <c r="O10" s="322">
        <f t="shared" si="3"/>
        <v>3.9598118802153981</v>
      </c>
      <c r="P10" s="26">
        <f t="shared" si="4"/>
        <v>2.7685463813388083</v>
      </c>
      <c r="Q10" s="8">
        <f t="shared" si="5"/>
        <v>2</v>
      </c>
      <c r="R10" s="8">
        <f t="shared" si="6"/>
        <v>16</v>
      </c>
      <c r="S10" s="8"/>
      <c r="T10" s="2">
        <v>7</v>
      </c>
      <c r="U10" s="213">
        <v>-0.55794916611014811</v>
      </c>
      <c r="V10" s="21">
        <v>-0.54415833268649705</v>
      </c>
      <c r="W10" s="21">
        <v>1.0894305734460425</v>
      </c>
      <c r="X10" s="317">
        <v>0.72331763824553585</v>
      </c>
      <c r="Y10" s="8"/>
      <c r="Z10" s="161">
        <f t="shared" si="7"/>
        <v>9.7133782421321637</v>
      </c>
      <c r="AA10" s="26">
        <f t="shared" si="8"/>
        <v>3.6556859344398602</v>
      </c>
      <c r="AB10" s="26">
        <f t="shared" si="9"/>
        <v>2.1578726359438374</v>
      </c>
      <c r="AC10" s="322">
        <f t="shared" si="10"/>
        <v>4.4638549262569143</v>
      </c>
      <c r="AD10" s="26">
        <f t="shared" si="11"/>
        <v>2.1578726359438374</v>
      </c>
      <c r="AE10" s="8">
        <f t="shared" si="12"/>
        <v>3</v>
      </c>
      <c r="AF10" cm="1">
        <f t="array" ref="AF10">_xlfn.IFS(AE10=1,AVERAGE(B10:E10),AE10=2,AVERAGE(B10:E10),AE10=3,AVERAGE(B10:E10),AE10=4,AVERAGE(B10:E10))</f>
        <v>16</v>
      </c>
      <c r="AN10">
        <v>7</v>
      </c>
      <c r="AO10" s="10" t="str" cm="1">
        <f t="array" ref="AO10">IF($AE10=1,$B10:$E10,"")</f>
        <v/>
      </c>
      <c r="AR10" s="306"/>
      <c r="AS10" s="10" t="str" cm="1">
        <f t="array" ref="AS10">IF($AE10=2,$B10:$E10,"")</f>
        <v/>
      </c>
      <c r="AV10" s="306"/>
      <c r="AW10" s="10" cm="1">
        <f t="array" ref="AW10:AZ10">IF($AE10=3,$B10:$E10,"")</f>
        <v>15</v>
      </c>
      <c r="AX10">
        <v>13</v>
      </c>
      <c r="AY10">
        <v>18</v>
      </c>
      <c r="AZ10">
        <v>18</v>
      </c>
      <c r="BA10" s="10" t="str" cm="1">
        <f t="array" ref="BA10">IF($AE10=4,$B10:$E10,"")</f>
        <v/>
      </c>
      <c r="BB10" t="str" cm="1">
        <f t="array" ref="BB10">IF($AE10=4,$B10:$E10,"")</f>
        <v/>
      </c>
      <c r="BC10" t="str" cm="1">
        <f t="array" ref="BC10">IF($AE10=4,$B10:$E10,"")</f>
        <v/>
      </c>
      <c r="BD10" s="306" t="str" cm="1">
        <f t="array" ref="BD10">IF($AE10=4,$B10:$E10,"")</f>
        <v/>
      </c>
    </row>
    <row r="11" spans="1:56" x14ac:dyDescent="0.3">
      <c r="A11">
        <v>8</v>
      </c>
      <c r="B11" s="139">
        <v>18</v>
      </c>
      <c r="C11" s="8">
        <v>18</v>
      </c>
      <c r="D11" s="8">
        <v>16</v>
      </c>
      <c r="E11" s="323">
        <v>16</v>
      </c>
      <c r="F11" s="2">
        <v>8</v>
      </c>
      <c r="G11" s="213">
        <v>0.53369050671405349</v>
      </c>
      <c r="H11" s="21">
        <v>1.0883166653729945</v>
      </c>
      <c r="I11" s="21">
        <v>0.37893237337253649</v>
      </c>
      <c r="J11" s="317">
        <v>-0.4187628431947848</v>
      </c>
      <c r="L11" s="161">
        <f t="shared" si="0"/>
        <v>8.9239854047345872</v>
      </c>
      <c r="M11" s="26">
        <f t="shared" si="1"/>
        <v>1.6180731143700235</v>
      </c>
      <c r="N11" s="26">
        <f t="shared" si="2"/>
        <v>5.6347740531947021</v>
      </c>
      <c r="O11" s="322">
        <f t="shared" si="3"/>
        <v>2.3428000236843931</v>
      </c>
      <c r="P11" s="26">
        <f t="shared" si="4"/>
        <v>1.6180731143700235</v>
      </c>
      <c r="Q11" s="8">
        <f t="shared" si="5"/>
        <v>2</v>
      </c>
      <c r="R11" s="8">
        <f t="shared" si="6"/>
        <v>17</v>
      </c>
      <c r="S11" s="8"/>
      <c r="T11" s="2">
        <v>8</v>
      </c>
      <c r="U11" s="213">
        <v>0.53369050671405349</v>
      </c>
      <c r="V11" s="21">
        <v>1.0883166653729945</v>
      </c>
      <c r="W11" s="21">
        <v>0.37893237337253649</v>
      </c>
      <c r="X11" s="317">
        <v>-0.4187628431947848</v>
      </c>
      <c r="Y11" s="8"/>
      <c r="Z11" s="161">
        <f t="shared" si="7"/>
        <v>7.1250201037312451</v>
      </c>
      <c r="AA11" s="26">
        <f t="shared" si="8"/>
        <v>5.1057893345004777</v>
      </c>
      <c r="AB11" s="26">
        <f t="shared" si="9"/>
        <v>1.7505650396539649</v>
      </c>
      <c r="AC11" s="322">
        <f t="shared" si="10"/>
        <v>6.2369734953242029</v>
      </c>
      <c r="AD11" s="26">
        <f t="shared" si="11"/>
        <v>1.7505650396539649</v>
      </c>
      <c r="AE11" s="8">
        <f t="shared" si="12"/>
        <v>3</v>
      </c>
      <c r="AF11" cm="1">
        <f t="array" ref="AF11">_xlfn.IFS(AE11=1,AVERAGE(B11:E11),AE11=2,AVERAGE(B11:E11),AE11=3,AVERAGE(B11:E11),AE11=4,AVERAGE(B11:E11))</f>
        <v>17</v>
      </c>
      <c r="AN11">
        <v>8</v>
      </c>
      <c r="AO11" s="10" t="str" cm="1">
        <f t="array" ref="AO11">IF($AE11=1,$B11:$E11,"")</f>
        <v/>
      </c>
      <c r="AR11" s="306"/>
      <c r="AS11" s="10" t="str" cm="1">
        <f t="array" ref="AS11">IF($AE11=2,$B11:$E11,"")</f>
        <v/>
      </c>
      <c r="AV11" s="306"/>
      <c r="AW11" s="10" cm="1">
        <f t="array" ref="AW11:AZ11">IF($AE11=3,$B11:$E11,"")</f>
        <v>18</v>
      </c>
      <c r="AX11">
        <v>18</v>
      </c>
      <c r="AY11">
        <v>16</v>
      </c>
      <c r="AZ11">
        <v>16</v>
      </c>
      <c r="BA11" s="10" t="str" cm="1">
        <f t="array" ref="BA11">IF($AE11=4,$B11:$E11,"")</f>
        <v/>
      </c>
      <c r="BB11" t="str" cm="1">
        <f t="array" ref="BB11">IF($AE11=4,$B11:$E11,"")</f>
        <v/>
      </c>
      <c r="BC11" t="str" cm="1">
        <f t="array" ref="BC11">IF($AE11=4,$B11:$E11,"")</f>
        <v/>
      </c>
      <c r="BD11" s="306" t="str" cm="1">
        <f t="array" ref="BD11">IF($AE11=4,$B11:$E11,"")</f>
        <v/>
      </c>
    </row>
    <row r="12" spans="1:56" x14ac:dyDescent="0.3">
      <c r="A12">
        <v>9</v>
      </c>
      <c r="B12" s="139">
        <v>15</v>
      </c>
      <c r="C12" s="8">
        <v>17</v>
      </c>
      <c r="D12" s="8">
        <v>17</v>
      </c>
      <c r="E12" s="323">
        <v>17</v>
      </c>
      <c r="F12" s="2">
        <v>9</v>
      </c>
      <c r="G12" s="213">
        <v>-0.55794916611014811</v>
      </c>
      <c r="H12" s="21">
        <v>0.76182166576109622</v>
      </c>
      <c r="I12" s="21">
        <v>0.73418147340928963</v>
      </c>
      <c r="J12" s="317">
        <v>0.15227739752537556</v>
      </c>
      <c r="L12" s="161">
        <f t="shared" si="0"/>
        <v>9.2429077228037766</v>
      </c>
      <c r="M12" s="26">
        <f t="shared" si="1"/>
        <v>0.55888786437023519</v>
      </c>
      <c r="N12" s="26">
        <f t="shared" si="2"/>
        <v>6.7920057093031172</v>
      </c>
      <c r="O12" s="322">
        <f t="shared" si="3"/>
        <v>2.9509294272843092</v>
      </c>
      <c r="P12" s="26">
        <f t="shared" si="4"/>
        <v>0.55888786437023519</v>
      </c>
      <c r="Q12" s="8">
        <f t="shared" si="5"/>
        <v>2</v>
      </c>
      <c r="R12" s="8">
        <f t="shared" si="6"/>
        <v>16.5</v>
      </c>
      <c r="S12" s="8"/>
      <c r="T12" s="2">
        <v>9</v>
      </c>
      <c r="U12" s="213">
        <v>-0.55794916611014811</v>
      </c>
      <c r="V12" s="21">
        <v>0.76182166576109622</v>
      </c>
      <c r="W12" s="21">
        <v>0.73418147340928963</v>
      </c>
      <c r="X12" s="317">
        <v>0.15227739752537556</v>
      </c>
      <c r="Y12" s="8"/>
      <c r="Z12" s="161">
        <f t="shared" si="7"/>
        <v>9.652868007084713</v>
      </c>
      <c r="AA12" s="26">
        <f t="shared" si="8"/>
        <v>5.6144064686231765</v>
      </c>
      <c r="AB12" s="26">
        <f t="shared" si="9"/>
        <v>0</v>
      </c>
      <c r="AC12" s="322">
        <f t="shared" si="10"/>
        <v>6.2642860906288469</v>
      </c>
      <c r="AD12" s="26">
        <f t="shared" si="11"/>
        <v>0</v>
      </c>
      <c r="AE12" s="8">
        <f t="shared" si="12"/>
        <v>3</v>
      </c>
      <c r="AF12" cm="1">
        <f t="array" ref="AF12">_xlfn.IFS(AE12=1,AVERAGE(B12:E12),AE12=2,AVERAGE(B12:E12),AE12=3,AVERAGE(B12:E12),AE12=4,AVERAGE(B12:E12))</f>
        <v>16.5</v>
      </c>
      <c r="AN12">
        <v>9</v>
      </c>
      <c r="AO12" s="10" t="str" cm="1">
        <f t="array" ref="AO12">IF($AE12=1,$B12:$E12,"")</f>
        <v/>
      </c>
      <c r="AR12" s="306"/>
      <c r="AS12" s="10" t="str" cm="1">
        <f t="array" ref="AS12">IF($AE12=2,$B12:$E12,"")</f>
        <v/>
      </c>
      <c r="AV12" s="306"/>
      <c r="AW12" s="10" cm="1">
        <f t="array" ref="AW12:AZ12">IF($AE12=3,$B12:$E12,"")</f>
        <v>15</v>
      </c>
      <c r="AX12">
        <v>17</v>
      </c>
      <c r="AY12">
        <v>17</v>
      </c>
      <c r="AZ12">
        <v>17</v>
      </c>
      <c r="BA12" s="10" t="str" cm="1">
        <f t="array" ref="BA12">IF($AE12=4,$B12:$E12,"")</f>
        <v/>
      </c>
      <c r="BB12" t="str" cm="1">
        <f t="array" ref="BB12">IF($AE12=4,$B12:$E12,"")</f>
        <v/>
      </c>
      <c r="BC12" t="str" cm="1">
        <f t="array" ref="BC12">IF($AE12=4,$B12:$E12,"")</f>
        <v/>
      </c>
      <c r="BD12" s="306" t="str" cm="1">
        <f t="array" ref="BD12">IF($AE12=4,$B12:$E12,"")</f>
        <v/>
      </c>
    </row>
    <row r="13" spans="1:56" x14ac:dyDescent="0.3">
      <c r="A13">
        <v>10</v>
      </c>
      <c r="B13" s="139">
        <v>13</v>
      </c>
      <c r="C13" s="8">
        <v>18</v>
      </c>
      <c r="D13" s="8">
        <v>13</v>
      </c>
      <c r="E13" s="323">
        <v>18</v>
      </c>
      <c r="F13" s="2">
        <v>10</v>
      </c>
      <c r="G13" s="213">
        <v>-1.2857089479929491</v>
      </c>
      <c r="H13" s="21">
        <v>1.0883166653729945</v>
      </c>
      <c r="I13" s="21">
        <v>-0.68681492673772271</v>
      </c>
      <c r="J13" s="317">
        <v>0.72331763824553585</v>
      </c>
      <c r="L13" s="161">
        <f t="shared" si="0"/>
        <v>9.0565610325102259</v>
      </c>
      <c r="M13" s="26">
        <f t="shared" si="1"/>
        <v>3.3961953729916581</v>
      </c>
      <c r="N13" s="26">
        <f t="shared" si="2"/>
        <v>9.0740430989208853</v>
      </c>
      <c r="O13" s="322">
        <f t="shared" si="3"/>
        <v>5.2546707060134619</v>
      </c>
      <c r="P13" s="26">
        <f t="shared" si="4"/>
        <v>3.3961953729916581</v>
      </c>
      <c r="Q13" s="8">
        <f t="shared" si="5"/>
        <v>2</v>
      </c>
      <c r="R13" s="8">
        <f t="shared" si="6"/>
        <v>15.5</v>
      </c>
      <c r="S13" s="8"/>
      <c r="T13" s="2">
        <v>10</v>
      </c>
      <c r="U13" s="213">
        <v>-1.2857089479929491</v>
      </c>
      <c r="V13" s="21">
        <v>1.0883166653729945</v>
      </c>
      <c r="W13" s="21">
        <v>-0.68681492673772271</v>
      </c>
      <c r="X13" s="317">
        <v>0.72331763824553585</v>
      </c>
      <c r="Y13" s="8"/>
      <c r="Z13" s="161">
        <f t="shared" si="7"/>
        <v>10.413427671306211</v>
      </c>
      <c r="AA13" s="26">
        <f t="shared" si="8"/>
        <v>14.451889209767748</v>
      </c>
      <c r="AB13" s="26">
        <f t="shared" si="9"/>
        <v>2.9815510106501817</v>
      </c>
      <c r="AC13" s="322">
        <f t="shared" si="10"/>
        <v>7.8839722000229173</v>
      </c>
      <c r="AD13" s="26">
        <f t="shared" si="11"/>
        <v>2.9815510106501817</v>
      </c>
      <c r="AE13" s="8">
        <f t="shared" si="12"/>
        <v>3</v>
      </c>
      <c r="AF13" cm="1">
        <f t="array" ref="AF13">_xlfn.IFS(AE13=1,AVERAGE(B13:E13),AE13=2,AVERAGE(B13:E13),AE13=3,AVERAGE(B13:E13),AE13=4,AVERAGE(B13:E13))</f>
        <v>15.5</v>
      </c>
      <c r="AN13">
        <v>10</v>
      </c>
      <c r="AO13" s="10" t="str" cm="1">
        <f t="array" ref="AO13">IF($AE13=1,$B13:$E13,"")</f>
        <v/>
      </c>
      <c r="AR13" s="306"/>
      <c r="AS13" s="10" t="str" cm="1">
        <f t="array" ref="AS13">IF($AE13=2,$B13:$E13,"")</f>
        <v/>
      </c>
      <c r="AV13" s="306"/>
      <c r="AW13" s="10" cm="1">
        <f t="array" ref="AW13:AZ13">IF($AE13=3,$B13:$E13,"")</f>
        <v>13</v>
      </c>
      <c r="AX13">
        <v>18</v>
      </c>
      <c r="AY13">
        <v>13</v>
      </c>
      <c r="AZ13">
        <v>18</v>
      </c>
      <c r="BA13" s="10" t="str" cm="1">
        <f t="array" ref="BA13">IF($AE13=4,$B13:$E13,"")</f>
        <v/>
      </c>
      <c r="BB13" t="str" cm="1">
        <f t="array" ref="BB13">IF($AE13=4,$B13:$E13,"")</f>
        <v/>
      </c>
      <c r="BC13" t="str" cm="1">
        <f t="array" ref="BC13">IF($AE13=4,$B13:$E13,"")</f>
        <v/>
      </c>
      <c r="BD13" s="306" t="str" cm="1">
        <f t="array" ref="BD13">IF($AE13=4,$B13:$E13,"")</f>
        <v/>
      </c>
    </row>
    <row r="14" spans="1:56" x14ac:dyDescent="0.3">
      <c r="A14">
        <v>11</v>
      </c>
      <c r="B14" s="139">
        <v>15</v>
      </c>
      <c r="C14" s="8">
        <v>10</v>
      </c>
      <c r="D14" s="8">
        <v>10</v>
      </c>
      <c r="E14" s="323">
        <v>16</v>
      </c>
      <c r="F14" s="2">
        <v>11</v>
      </c>
      <c r="G14" s="213">
        <v>-0.55794916611014811</v>
      </c>
      <c r="H14" s="21">
        <v>-1.523643331522192</v>
      </c>
      <c r="I14" s="21">
        <v>-1.7525622268479819</v>
      </c>
      <c r="J14" s="317">
        <v>-0.4187628431947848</v>
      </c>
      <c r="L14" s="161">
        <f t="shared" si="0"/>
        <v>5.9845234405940424</v>
      </c>
      <c r="M14" s="26">
        <f t="shared" si="1"/>
        <v>8.3808326825458739</v>
      </c>
      <c r="N14" s="26">
        <f t="shared" si="2"/>
        <v>3.5319645717549486</v>
      </c>
      <c r="O14" s="322">
        <f t="shared" si="3"/>
        <v>4.2544488257020454</v>
      </c>
      <c r="P14" s="26">
        <f t="shared" si="4"/>
        <v>3.5319645717549486</v>
      </c>
      <c r="Q14" s="8">
        <f t="shared" si="5"/>
        <v>3</v>
      </c>
      <c r="R14" s="8">
        <f t="shared" si="6"/>
        <v>12.75</v>
      </c>
      <c r="S14" s="8"/>
      <c r="T14" s="2">
        <v>11</v>
      </c>
      <c r="U14" s="213">
        <v>-0.55794916611014811</v>
      </c>
      <c r="V14" s="21">
        <v>-1.523643331522192</v>
      </c>
      <c r="W14" s="21">
        <v>-1.7525622268479819</v>
      </c>
      <c r="X14" s="317">
        <v>-0.4187628431947848</v>
      </c>
      <c r="Y14" s="8"/>
      <c r="Z14" s="161">
        <f t="shared" si="7"/>
        <v>2.6711350626676253</v>
      </c>
      <c r="AA14" s="26">
        <f t="shared" si="8"/>
        <v>12.767288908821467</v>
      </c>
      <c r="AB14" s="26">
        <f t="shared" si="9"/>
        <v>11.733331441098064</v>
      </c>
      <c r="AC14" s="322">
        <f t="shared" si="10"/>
        <v>8.0319414413749861</v>
      </c>
      <c r="AD14" s="26">
        <f t="shared" si="11"/>
        <v>2.6711350626676253</v>
      </c>
      <c r="AE14" s="8">
        <f t="shared" si="12"/>
        <v>1</v>
      </c>
      <c r="AF14" cm="1">
        <f t="array" ref="AF14">_xlfn.IFS(AE14=1,AVERAGE(B14:E14),AE14=2,AVERAGE(B14:E14),AE14=3,AVERAGE(B14:E14),AE14=4,AVERAGE(B14:E14))</f>
        <v>12.75</v>
      </c>
      <c r="AN14">
        <v>11</v>
      </c>
      <c r="AO14" s="10" cm="1">
        <f t="array" ref="AO14:AR14">IF($AE14=1,$B14:$E14,"")</f>
        <v>15</v>
      </c>
      <c r="AP14">
        <v>10</v>
      </c>
      <c r="AQ14">
        <v>10</v>
      </c>
      <c r="AR14" s="306">
        <v>16</v>
      </c>
      <c r="AS14" s="10" t="str" cm="1">
        <f t="array" ref="AS14">IF($AE14=2,$B14:$E14,"")</f>
        <v/>
      </c>
      <c r="AV14" s="306"/>
      <c r="AW14" s="10" t="str" cm="1">
        <f t="array" ref="AW14">IF($AE14=3,$B14:$E14,"")</f>
        <v/>
      </c>
      <c r="AX14" t="str">
        <f>IF($AE14=3,$B15,"")</f>
        <v/>
      </c>
      <c r="AY14" t="str">
        <f>IF($AE14=3,$B16,"")</f>
        <v/>
      </c>
      <c r="AZ14" t="str">
        <f>IF($AE14=3,$B17,"")</f>
        <v/>
      </c>
      <c r="BA14" s="10" t="str" cm="1">
        <f t="array" ref="BA14">IF($AE14=4,$B14:$E14,"")</f>
        <v/>
      </c>
      <c r="BB14" t="str" cm="1">
        <f t="array" ref="BB14">IF($AE14=4,$B14:$E14,"")</f>
        <v/>
      </c>
      <c r="BC14" t="str" cm="1">
        <f t="array" ref="BC14">IF($AE14=4,$B14:$E14,"")</f>
        <v/>
      </c>
      <c r="BD14" s="306" t="str" cm="1">
        <f t="array" ref="BD14">IF($AE14=4,$B14:$E14,"")</f>
        <v/>
      </c>
    </row>
    <row r="15" spans="1:56" x14ac:dyDescent="0.3">
      <c r="A15">
        <v>12</v>
      </c>
      <c r="B15" s="139">
        <v>19</v>
      </c>
      <c r="C15" s="8">
        <v>12</v>
      </c>
      <c r="D15" s="8">
        <v>11</v>
      </c>
      <c r="E15" s="323">
        <v>16</v>
      </c>
      <c r="F15" s="2">
        <v>12</v>
      </c>
      <c r="G15" s="213">
        <v>0.89757039765545399</v>
      </c>
      <c r="H15" s="21">
        <v>-0.87065333229839537</v>
      </c>
      <c r="I15" s="21">
        <v>-1.3973131268112289</v>
      </c>
      <c r="J15" s="317">
        <v>-0.4187628431947848</v>
      </c>
      <c r="L15" s="161">
        <f t="shared" si="0"/>
        <v>3.0609845317725708</v>
      </c>
      <c r="M15" s="26">
        <f t="shared" si="1"/>
        <v>6.9791690337726591</v>
      </c>
      <c r="N15" s="26">
        <f t="shared" si="2"/>
        <v>3.1074316784499501</v>
      </c>
      <c r="O15" s="322">
        <f t="shared" si="3"/>
        <v>2.0918475469047033</v>
      </c>
      <c r="P15" s="26">
        <f t="shared" si="4"/>
        <v>2.0918475469047033</v>
      </c>
      <c r="Q15" s="8">
        <f t="shared" si="5"/>
        <v>4</v>
      </c>
      <c r="R15" s="8">
        <f t="shared" si="6"/>
        <v>14.5</v>
      </c>
      <c r="S15" s="8"/>
      <c r="T15" s="2">
        <v>12</v>
      </c>
      <c r="U15" s="213">
        <v>0.89757039765545399</v>
      </c>
      <c r="V15" s="21">
        <v>-0.87065333229839537</v>
      </c>
      <c r="W15" s="21">
        <v>-1.3973131268112289</v>
      </c>
      <c r="X15" s="317">
        <v>-0.4187628431947848</v>
      </c>
      <c r="Y15" s="8"/>
      <c r="Z15" s="161">
        <f t="shared" si="7"/>
        <v>0</v>
      </c>
      <c r="AA15" s="26">
        <f t="shared" si="8"/>
        <v>8.0769230769230713</v>
      </c>
      <c r="AB15" s="26">
        <f t="shared" si="9"/>
        <v>9.652868007084713</v>
      </c>
      <c r="AC15" s="322">
        <f t="shared" si="10"/>
        <v>4.1771989011595281</v>
      </c>
      <c r="AD15" s="26">
        <f t="shared" si="11"/>
        <v>0</v>
      </c>
      <c r="AE15" s="8">
        <f t="shared" si="12"/>
        <v>1</v>
      </c>
      <c r="AF15" cm="1">
        <f t="array" ref="AF15">_xlfn.IFS(AE15=1,AVERAGE(B15:E15),AE15=2,AVERAGE(B15:E15),AE15=3,AVERAGE(B15:E15),AE15=4,AVERAGE(B15:E15))</f>
        <v>14.5</v>
      </c>
      <c r="AN15">
        <v>12</v>
      </c>
      <c r="AO15" s="10" cm="1">
        <f t="array" ref="AO15:AR15">IF($AE15=1,$B15:$E15,"")</f>
        <v>19</v>
      </c>
      <c r="AP15">
        <v>12</v>
      </c>
      <c r="AQ15">
        <v>11</v>
      </c>
      <c r="AR15" s="306">
        <v>16</v>
      </c>
      <c r="AS15" s="10" t="str" cm="1">
        <f t="array" ref="AS15">IF($AE15=2,$B15:$E15,"")</f>
        <v/>
      </c>
      <c r="AV15" s="306"/>
      <c r="AW15" s="10" t="str" cm="1">
        <f t="array" ref="AW15">IF($AE15=3,$B15:$E15,"")</f>
        <v/>
      </c>
      <c r="AX15" t="str">
        <f>IF($AE15=3,$B16,"")</f>
        <v/>
      </c>
      <c r="AY15" t="str">
        <f>IF($AE15=3,$B17,"")</f>
        <v/>
      </c>
      <c r="AZ15" t="str">
        <f>IF($AE15=3,$B18,"")</f>
        <v/>
      </c>
      <c r="BA15" s="10" t="str" cm="1">
        <f t="array" ref="BA15">IF($AE15=4,$B15:$E15,"")</f>
        <v/>
      </c>
      <c r="BD15" s="306"/>
    </row>
    <row r="16" spans="1:56" x14ac:dyDescent="0.3">
      <c r="A16">
        <v>13</v>
      </c>
      <c r="B16" s="139">
        <v>10</v>
      </c>
      <c r="C16" s="8">
        <v>19</v>
      </c>
      <c r="D16" s="8">
        <v>15</v>
      </c>
      <c r="E16" s="323">
        <v>16</v>
      </c>
      <c r="F16" s="2">
        <v>13</v>
      </c>
      <c r="G16" s="213">
        <v>-2.3773486208171506</v>
      </c>
      <c r="H16" s="21">
        <v>1.414811664984893</v>
      </c>
      <c r="I16" s="21">
        <v>2.3683273335783454E-2</v>
      </c>
      <c r="J16" s="317">
        <v>-0.4187628431947848</v>
      </c>
      <c r="L16" s="161">
        <f t="shared" si="0"/>
        <v>20.019044747748623</v>
      </c>
      <c r="M16" s="26">
        <f t="shared" si="1"/>
        <v>4.3958071618092234</v>
      </c>
      <c r="N16" s="26">
        <f t="shared" si="2"/>
        <v>10.413427671306211</v>
      </c>
      <c r="O16" s="322">
        <f t="shared" si="3"/>
        <v>9.2791967189110114</v>
      </c>
      <c r="P16" s="26">
        <f t="shared" si="4"/>
        <v>4.3958071618092234</v>
      </c>
      <c r="Q16" s="8">
        <f t="shared" si="5"/>
        <v>2</v>
      </c>
      <c r="R16" s="8">
        <f t="shared" si="6"/>
        <v>15</v>
      </c>
      <c r="S16" s="8"/>
      <c r="T16" s="2">
        <v>13</v>
      </c>
      <c r="U16" s="213">
        <v>-2.3773486208171506</v>
      </c>
      <c r="V16" s="21">
        <v>1.414811664984893</v>
      </c>
      <c r="W16" s="21">
        <v>2.3683273335783454E-2</v>
      </c>
      <c r="X16" s="317">
        <v>-0.4187628431947848</v>
      </c>
      <c r="Y16" s="8"/>
      <c r="Z16" s="161">
        <f t="shared" si="7"/>
        <v>17.967675600591434</v>
      </c>
      <c r="AA16" s="26">
        <f t="shared" si="8"/>
        <v>17.967675600591434</v>
      </c>
      <c r="AB16" s="26">
        <f t="shared" si="9"/>
        <v>4.5675049637038621</v>
      </c>
      <c r="AC16" s="322">
        <f t="shared" si="10"/>
        <v>17.623642561102784</v>
      </c>
      <c r="AD16" s="26">
        <f t="shared" si="11"/>
        <v>4.5675049637038621</v>
      </c>
      <c r="AE16" s="8">
        <f t="shared" si="12"/>
        <v>3</v>
      </c>
      <c r="AF16" cm="1">
        <f t="array" ref="AF16">_xlfn.IFS(AE16=1,AVERAGE(B16:E16),AE16=2,AVERAGE(B16:E16),AE16=3,AVERAGE(B16:E16),AE16=4,AVERAGE(B16:E16))</f>
        <v>15</v>
      </c>
      <c r="AN16">
        <v>13</v>
      </c>
      <c r="AO16" s="10" t="str" cm="1">
        <f t="array" ref="AO16">IF($AE16=1,$B16:$E16,"")</f>
        <v/>
      </c>
      <c r="AR16" s="306"/>
      <c r="AS16" s="10" t="str" cm="1">
        <f t="array" ref="AS16">IF($AE16=2,$B16:$E16,"")</f>
        <v/>
      </c>
      <c r="AV16" s="306"/>
      <c r="AW16" s="10" cm="1">
        <f t="array" ref="AW16:AZ16">IF($AE16=3,$B16:$E16,"")</f>
        <v>10</v>
      </c>
      <c r="AX16">
        <v>19</v>
      </c>
      <c r="AY16">
        <v>15</v>
      </c>
      <c r="AZ16">
        <v>16</v>
      </c>
      <c r="BA16" s="10" t="str" cm="1">
        <f t="array" ref="BA16">IF($AE16=4,$B16:$E16,"")</f>
        <v/>
      </c>
      <c r="BD16" s="306"/>
    </row>
    <row r="17" spans="1:56" x14ac:dyDescent="0.3">
      <c r="A17">
        <v>14</v>
      </c>
      <c r="B17" s="139">
        <v>20</v>
      </c>
      <c r="C17" s="8">
        <v>13</v>
      </c>
      <c r="D17" s="8">
        <v>17</v>
      </c>
      <c r="E17" s="323">
        <v>14</v>
      </c>
      <c r="F17" s="2">
        <v>14</v>
      </c>
      <c r="G17" s="213">
        <v>1.2614502885968546</v>
      </c>
      <c r="H17" s="21">
        <v>-0.54415833268649705</v>
      </c>
      <c r="I17" s="21">
        <v>0.73418147340928963</v>
      </c>
      <c r="J17" s="317">
        <v>-1.5608433246351054</v>
      </c>
      <c r="L17" s="161">
        <f t="shared" si="0"/>
        <v>11.54622954976964</v>
      </c>
      <c r="M17" s="26">
        <f t="shared" si="1"/>
        <v>5.7001549878961786</v>
      </c>
      <c r="N17" s="26">
        <f t="shared" si="2"/>
        <v>4.1377679697351768</v>
      </c>
      <c r="O17" s="322">
        <f t="shared" si="3"/>
        <v>3.7384412938345655</v>
      </c>
      <c r="P17" s="26">
        <f t="shared" si="4"/>
        <v>3.7384412938345655</v>
      </c>
      <c r="Q17" s="8">
        <f t="shared" si="5"/>
        <v>4</v>
      </c>
      <c r="R17" s="8">
        <f t="shared" si="6"/>
        <v>16</v>
      </c>
      <c r="S17" s="8"/>
      <c r="T17" s="2">
        <v>14</v>
      </c>
      <c r="U17" s="213">
        <v>1.2614502885968546</v>
      </c>
      <c r="V17" s="21">
        <v>-0.54415833268649705</v>
      </c>
      <c r="W17" s="21">
        <v>0.73418147340928963</v>
      </c>
      <c r="X17" s="317">
        <v>-1.5608433246351054</v>
      </c>
      <c r="Y17" s="8"/>
      <c r="Z17" s="161">
        <f t="shared" si="7"/>
        <v>6.0866246166592823</v>
      </c>
      <c r="AA17" s="26">
        <f t="shared" si="8"/>
        <v>2.0481630781977458</v>
      </c>
      <c r="AB17" s="26">
        <f t="shared" si="9"/>
        <v>7.9505807408289622</v>
      </c>
      <c r="AC17" s="322">
        <f t="shared" si="10"/>
        <v>9.4203997957672989</v>
      </c>
      <c r="AD17" s="26">
        <f t="shared" si="11"/>
        <v>2.0481630781977458</v>
      </c>
      <c r="AE17" s="8">
        <f t="shared" si="12"/>
        <v>2</v>
      </c>
      <c r="AF17" cm="1">
        <f t="array" ref="AF17">_xlfn.IFS(AE17=1,AVERAGE(B17:E17),AE17=2,AVERAGE(B17:E17),AE17=3,AVERAGE(B17:E17),AE17=4,AVERAGE(B17:E17))</f>
        <v>16</v>
      </c>
      <c r="AN17">
        <v>14</v>
      </c>
      <c r="AO17" s="10" t="str" cm="1">
        <f t="array" ref="AO17">IF($AE17=1,$B17:$E17,"")</f>
        <v/>
      </c>
      <c r="AP17" t="str">
        <f>IF($AE17=1,$C17,"")</f>
        <v/>
      </c>
      <c r="AQ17" t="str">
        <f>IF($AE17=1,$D17,"")</f>
        <v/>
      </c>
      <c r="AR17" s="306" t="str">
        <f>IF($AE17=1,$E17,"")</f>
        <v/>
      </c>
      <c r="AS17" s="10" cm="1">
        <f t="array" ref="AS17:AV17">IF($AE17=2,$B17:$E17,"")</f>
        <v>20</v>
      </c>
      <c r="AT17">
        <v>13</v>
      </c>
      <c r="AU17">
        <v>17</v>
      </c>
      <c r="AV17" s="321">
        <v>14</v>
      </c>
      <c r="AW17" s="10" t="str" cm="1">
        <f t="array" ref="AW17">IF($AE17=3,$B17:$E17,"")</f>
        <v/>
      </c>
      <c r="AX17" t="str">
        <f>IF($AE17=3,$B18,"")</f>
        <v/>
      </c>
      <c r="AY17" t="str">
        <f>IF($AE17=3,$B19,"")</f>
        <v/>
      </c>
      <c r="AZ17" t="str">
        <f>IF($AE17=3,$B20,"")</f>
        <v/>
      </c>
      <c r="BA17" s="10" t="str" cm="1">
        <f t="array" ref="BA17">IF($AE17=4,$B17:$E17,"")</f>
        <v/>
      </c>
      <c r="BD17" s="306"/>
    </row>
    <row r="18" spans="1:56" x14ac:dyDescent="0.3">
      <c r="A18">
        <v>15</v>
      </c>
      <c r="B18" s="232">
        <v>18</v>
      </c>
      <c r="C18" s="225">
        <v>20</v>
      </c>
      <c r="D18" s="225">
        <v>19</v>
      </c>
      <c r="E18" s="231">
        <v>20</v>
      </c>
      <c r="F18" s="2">
        <v>15</v>
      </c>
      <c r="G18" s="246">
        <v>0.53369050671405349</v>
      </c>
      <c r="H18" s="209">
        <v>1.7413066645967912</v>
      </c>
      <c r="I18" s="209">
        <v>1.4446796734827958</v>
      </c>
      <c r="J18" s="245">
        <v>1.8653981196858564</v>
      </c>
      <c r="L18" s="253">
        <f t="shared" si="0"/>
        <v>13.464724787703194</v>
      </c>
      <c r="M18" s="224">
        <f t="shared" si="1"/>
        <v>9.2504695436690305</v>
      </c>
      <c r="N18" s="224">
        <f t="shared" si="2"/>
        <v>22.035384219485021</v>
      </c>
      <c r="O18" s="252">
        <f t="shared" si="3"/>
        <v>12.342411408079064</v>
      </c>
      <c r="P18" s="26">
        <f t="shared" si="4"/>
        <v>9.2504695436690305</v>
      </c>
      <c r="Q18" s="8">
        <f t="shared" si="5"/>
        <v>2</v>
      </c>
      <c r="R18" s="8">
        <f t="shared" si="6"/>
        <v>19.25</v>
      </c>
      <c r="S18" s="8"/>
      <c r="T18" s="2">
        <v>15</v>
      </c>
      <c r="U18" s="246">
        <v>0.53369050671405349</v>
      </c>
      <c r="V18" s="209">
        <v>1.7413066645967912</v>
      </c>
      <c r="W18" s="209">
        <v>1.4446796734827958</v>
      </c>
      <c r="X18" s="245">
        <v>1.8653981196858564</v>
      </c>
      <c r="Y18" s="8"/>
      <c r="Z18" s="253">
        <f t="shared" si="7"/>
        <v>20.249057981683116</v>
      </c>
      <c r="AA18" s="224">
        <f t="shared" si="8"/>
        <v>12.172134904760046</v>
      </c>
      <c r="AB18" s="224">
        <f t="shared" si="9"/>
        <v>5.590658339231231</v>
      </c>
      <c r="AC18" s="252">
        <f t="shared" si="10"/>
        <v>8.8368938622834392</v>
      </c>
      <c r="AD18" s="26">
        <f t="shared" si="11"/>
        <v>5.590658339231231</v>
      </c>
      <c r="AE18" s="8">
        <f t="shared" si="12"/>
        <v>3</v>
      </c>
      <c r="AF18" cm="1">
        <f t="array" ref="AF18">_xlfn.IFS(AE18=1,AVERAGE(B18:E18),AE18=2,AVERAGE(B18:E18),AE18=3,AVERAGE(B18:E18),AE18=4,AVERAGE(B18:E18))</f>
        <v>19.25</v>
      </c>
      <c r="AN18">
        <v>15</v>
      </c>
      <c r="AO18" s="248" t="str" cm="1">
        <f t="array" ref="AO18">IF($AE18=1,$B18:$E18,"")</f>
        <v/>
      </c>
      <c r="AP18" s="223" t="str">
        <f>IF($AE18=1,$C18,"")</f>
        <v/>
      </c>
      <c r="AQ18" s="223" t="str">
        <f>IF($AE18=1,$D18,"")</f>
        <v/>
      </c>
      <c r="AR18" s="247" t="str">
        <f>IF($AE18=1,$E18,"")</f>
        <v/>
      </c>
      <c r="AS18" s="248" t="str" cm="1">
        <f t="array" ref="AS18">IF($AE18=2,$B18:$E18,"")</f>
        <v/>
      </c>
      <c r="AT18" s="223" t="str">
        <f>IF($AE18=2,$B19,"")</f>
        <v/>
      </c>
      <c r="AU18" s="223" t="str">
        <f>IF($AE18=2,$B20,"")</f>
        <v/>
      </c>
      <c r="AV18" s="247" t="str">
        <f>IF($AE18=2,$B21,"")</f>
        <v/>
      </c>
      <c r="AW18" s="248" cm="1">
        <f t="array" ref="AW18:AZ18">IF($AE18=3,$B18:$E18,"")</f>
        <v>18</v>
      </c>
      <c r="AX18" s="223">
        <v>20</v>
      </c>
      <c r="AY18" s="223">
        <v>19</v>
      </c>
      <c r="AZ18" s="223">
        <v>20</v>
      </c>
      <c r="BA18" s="248" t="str" cm="1">
        <f t="array" ref="BA18">IF($AE18=4,$B18:$E18,"")</f>
        <v/>
      </c>
      <c r="BB18" s="223"/>
      <c r="BC18" s="223"/>
      <c r="BD18" s="247"/>
    </row>
    <row r="19" spans="1:56" x14ac:dyDescent="0.3">
      <c r="G19" t="str">
        <f ca="1">_xlfn.FORMULATEXT(G4)</f>
        <v>=STANDARDIZE(B4:B18,B$20,B$21)</v>
      </c>
      <c r="L19" s="26" t="str">
        <f ca="1">_xlfn.FORMULATEXT(L4)</f>
        <v>=SUMXMY2($G4:$J4,$G$22:$J$22)</v>
      </c>
      <c r="P19" s="26" t="str">
        <f ca="1">_xlfn.FORMULATEXT(P4)</f>
        <v>=MIN(L4:O4)</v>
      </c>
      <c r="Q19" s="26" t="str">
        <f ca="1">_xlfn.FORMULATEXT(Q4)</f>
        <v>=MATCH(P4,L4:O4,0)</v>
      </c>
      <c r="R19" s="26"/>
      <c r="S19" s="26"/>
      <c r="U19" t="str">
        <f ca="1">_xlfn.FORMULATEXT(U4)</f>
        <v>=STANDARDIZE(B4:B18,B$20,B$21)</v>
      </c>
      <c r="Z19" s="26" t="str">
        <f ca="1">_xlfn.FORMULATEXT(Z4)</f>
        <v>=SUMXMY2($U4:$X4,$U$22:$X$22)</v>
      </c>
      <c r="AD19" s="26" t="str">
        <f ca="1">_xlfn.FORMULATEXT(AD4)</f>
        <v>=MIN(Z4:AC4)</v>
      </c>
      <c r="AE19" s="26" t="str">
        <f ca="1">_xlfn.FORMULATEXT(AE4)</f>
        <v>=MATCH(AD4,Z4:AC4,0)</v>
      </c>
    </row>
    <row r="20" spans="1:56" x14ac:dyDescent="0.3">
      <c r="A20" t="s">
        <v>16</v>
      </c>
      <c r="B20" s="222">
        <f>AVERAGE(B4:B18)</f>
        <v>16.533333333333335</v>
      </c>
      <c r="C20" s="222">
        <f>AVERAGE(C4:C18)</f>
        <v>14.666666666666666</v>
      </c>
      <c r="D20" s="222">
        <f>AVERAGE(D4:D18)</f>
        <v>14.933333333333334</v>
      </c>
      <c r="E20" s="222">
        <f>AVERAGE(E4:E18)</f>
        <v>16.733333333333334</v>
      </c>
      <c r="L20" s="26"/>
      <c r="P20" s="26"/>
      <c r="R20" s="8" t="str">
        <f ca="1">_xlfn.FORMULATEXT(R4)</f>
        <v>=AVERAGE(B4:E4)</v>
      </c>
    </row>
    <row r="21" spans="1:56" x14ac:dyDescent="0.3">
      <c r="A21" t="s">
        <v>10</v>
      </c>
      <c r="B21" s="222">
        <f>_xlfn.STDEV.S(B4:B18)</f>
        <v>2.7481595573002982</v>
      </c>
      <c r="C21" s="222">
        <f>_xlfn.STDEV.S(C4:C18)</f>
        <v>3.0628340439782877</v>
      </c>
      <c r="D21" s="222">
        <f>_xlfn.STDEV.S(D4:D18)</f>
        <v>2.8149262021959882</v>
      </c>
      <c r="E21" s="222">
        <f>_xlfn.STDEV.S(E4:E18)</f>
        <v>1.7511900715418276</v>
      </c>
      <c r="G21" t="s">
        <v>300</v>
      </c>
      <c r="L21" s="8" t="s">
        <v>584</v>
      </c>
      <c r="M21" s="8" t="s">
        <v>298</v>
      </c>
      <c r="N21" s="8" t="s">
        <v>40</v>
      </c>
      <c r="O21" s="221"/>
      <c r="U21" t="s">
        <v>300</v>
      </c>
      <c r="Z21" s="8" t="s">
        <v>584</v>
      </c>
      <c r="AA21" s="8" t="s">
        <v>298</v>
      </c>
      <c r="AB21" s="8" t="s">
        <v>40</v>
      </c>
      <c r="AC21" s="221"/>
      <c r="AN21" t="s">
        <v>175</v>
      </c>
      <c r="AO21" s="19">
        <f t="shared" ref="AO21:BD21" si="13">AVERAGE(AO4:AO18)</f>
        <v>16.75</v>
      </c>
      <c r="AP21" s="18">
        <f t="shared" si="13"/>
        <v>12.25</v>
      </c>
      <c r="AQ21" s="18">
        <f t="shared" si="13"/>
        <v>12</v>
      </c>
      <c r="AR21" s="17">
        <f t="shared" si="13"/>
        <v>15.5</v>
      </c>
      <c r="AS21" s="19">
        <f t="shared" si="13"/>
        <v>19.5</v>
      </c>
      <c r="AT21" s="18">
        <f t="shared" si="13"/>
        <v>12.5</v>
      </c>
      <c r="AU21" s="18">
        <f t="shared" si="13"/>
        <v>18</v>
      </c>
      <c r="AV21" s="220">
        <f t="shared" si="13"/>
        <v>15</v>
      </c>
      <c r="AW21" s="219">
        <f t="shared" si="13"/>
        <v>14.857142857142858</v>
      </c>
      <c r="AX21" s="218">
        <f t="shared" si="13"/>
        <v>17.285714285714285</v>
      </c>
      <c r="AY21" s="218">
        <f t="shared" si="13"/>
        <v>16.285714285714285</v>
      </c>
      <c r="AZ21" s="218">
        <f t="shared" si="13"/>
        <v>17.285714285714285</v>
      </c>
      <c r="BA21" s="19">
        <f t="shared" si="13"/>
        <v>19</v>
      </c>
      <c r="BB21" s="18">
        <f t="shared" si="13"/>
        <v>12.5</v>
      </c>
      <c r="BC21" s="18">
        <f t="shared" si="13"/>
        <v>13</v>
      </c>
      <c r="BD21" s="17">
        <f t="shared" si="13"/>
        <v>19</v>
      </c>
    </row>
    <row r="22" spans="1:56" x14ac:dyDescent="0.3">
      <c r="B22" t="str">
        <f ca="1">_xlfn.FORMULATEXT(B20)</f>
        <v>=AVERAGE(B4:B18)</v>
      </c>
      <c r="F22" s="316">
        <v>1</v>
      </c>
      <c r="G22" s="320">
        <f>VLOOKUP($F22,$F$4:$J$18,2)</f>
        <v>0.89757039765545399</v>
      </c>
      <c r="H22" s="319">
        <f>VLOOKUP($F22,$F$4:$J$18,3)</f>
        <v>-0.87065333229839537</v>
      </c>
      <c r="I22" s="319">
        <f>VLOOKUP($F22,$F$4:$J$18,4)</f>
        <v>-1.0420640267744758</v>
      </c>
      <c r="J22" s="318">
        <f>VLOOKUP($F22,$F$4:$J$18,5)</f>
        <v>1.2943578789656962</v>
      </c>
      <c r="L22" s="8">
        <v>1</v>
      </c>
      <c r="M22" s="8">
        <f>COUNTIF($Q$4:$Q$18,L22)</f>
        <v>2</v>
      </c>
      <c r="N22" s="27">
        <f>SUMIF($Q$4:$Q$18,L22,$R$4:$R$18)/M22</f>
        <v>15.875</v>
      </c>
      <c r="T22" s="316">
        <v>12</v>
      </c>
      <c r="U22" s="320">
        <f>VLOOKUP($T22,$T$4:$X$18,2)</f>
        <v>0.89757039765545399</v>
      </c>
      <c r="V22" s="319">
        <f>VLOOKUP($T22,$T$4:$X$18,3)</f>
        <v>-0.87065333229839537</v>
      </c>
      <c r="W22" s="319">
        <f>VLOOKUP($T22,$T$4:$X$18,4)</f>
        <v>-1.3973131268112289</v>
      </c>
      <c r="X22" s="318">
        <f>VLOOKUP($T22,$T$4:$X$18,5)</f>
        <v>-0.4187628431947848</v>
      </c>
      <c r="Z22" s="8">
        <v>1</v>
      </c>
      <c r="AA22" s="8">
        <f>COUNTIF($AE$4:$AE$18,Z22)</f>
        <v>4</v>
      </c>
      <c r="AB22" s="27">
        <f>SUMIF($AE$4:$AE$18,Z22,$AF$4:$AF$18)/AA22</f>
        <v>14.125</v>
      </c>
      <c r="AR22" s="24">
        <f>AVERAGE(AO21:AR21)</f>
        <v>14.125</v>
      </c>
      <c r="AV22">
        <f>AVERAGE(AS21:AV21)</f>
        <v>16.25</v>
      </c>
      <c r="AZ22" s="21">
        <f>AVERAGE(AW21:AZ21)</f>
        <v>16.428571428571427</v>
      </c>
      <c r="BD22" s="21">
        <f>AVERAGE(BA21:BD21)</f>
        <v>15.875</v>
      </c>
    </row>
    <row r="23" spans="1:56" x14ac:dyDescent="0.3">
      <c r="B23" t="str">
        <f ca="1">_xlfn.FORMULATEXT(B21)</f>
        <v>=STDEV.S(B4:B18)</v>
      </c>
      <c r="F23" s="316">
        <v>2</v>
      </c>
      <c r="G23" s="213">
        <f>VLOOKUP($F23,$F$4:$J$18,2)</f>
        <v>-0.55794916611014811</v>
      </c>
      <c r="H23" s="21">
        <f>VLOOKUP($F23,$F$4:$J$18,3)</f>
        <v>0.43532666614919796</v>
      </c>
      <c r="I23" s="21">
        <f>VLOOKUP($F23,$F$4:$J$18,4)</f>
        <v>0.37893237337253649</v>
      </c>
      <c r="J23" s="317">
        <f>VLOOKUP($F23,$F$4:$J$18,5)</f>
        <v>-0.4187628431947848</v>
      </c>
      <c r="L23" s="8">
        <v>2</v>
      </c>
      <c r="M23" s="8">
        <f>COUNTIF($Q$4:$Q$18,L23)</f>
        <v>7</v>
      </c>
      <c r="N23" s="27">
        <f>SUMIF($Q$4:$Q$18,L23,$R$4:$R$18)/M23</f>
        <v>16.428571428571427</v>
      </c>
      <c r="P23" s="214" t="s">
        <v>297</v>
      </c>
      <c r="T23" s="316">
        <v>5</v>
      </c>
      <c r="U23" s="213">
        <f>VLOOKUP($T23,$T$4:$X$18,2)</f>
        <v>0.89757039765545399</v>
      </c>
      <c r="V23" s="21">
        <f>VLOOKUP($T23,$T$4:$X$18,3)</f>
        <v>-0.87065333229839537</v>
      </c>
      <c r="W23" s="21">
        <f>VLOOKUP($T23,$T$4:$X$18,4)</f>
        <v>1.4446796734827958</v>
      </c>
      <c r="X23" s="317">
        <f>VLOOKUP($T23,$T$4:$X$18,5)</f>
        <v>-0.4187628431947848</v>
      </c>
      <c r="Z23" s="8">
        <v>2</v>
      </c>
      <c r="AA23" s="8">
        <f>COUNTIF($AE$4:$AE$18,Z23)</f>
        <v>2</v>
      </c>
      <c r="AB23" s="8">
        <f>SUMIF($AE$4:$AE$18,Z23,$AF$4:$AF$18)/AA23</f>
        <v>16.25</v>
      </c>
      <c r="AD23" s="214" t="s">
        <v>297</v>
      </c>
    </row>
    <row r="24" spans="1:56" x14ac:dyDescent="0.3">
      <c r="F24" s="316">
        <v>3</v>
      </c>
      <c r="G24" s="213">
        <f>VLOOKUP($F24,$F$4:$J$18,2)</f>
        <v>-0.19406927516874753</v>
      </c>
      <c r="H24" s="21">
        <f>VLOOKUP($F24,$F$4:$J$18,3)</f>
        <v>-0.54415833268649705</v>
      </c>
      <c r="I24" s="21">
        <f>VLOOKUP($F24,$F$4:$J$18,4)</f>
        <v>-0.68681492673772271</v>
      </c>
      <c r="J24" s="317">
        <f>VLOOKUP($F24,$F$4:$J$18,5)</f>
        <v>-1.5608433246351054</v>
      </c>
      <c r="L24" s="8">
        <v>3</v>
      </c>
      <c r="M24" s="8">
        <f>COUNTIF($Q$4:$Q$18,L24)</f>
        <v>2</v>
      </c>
      <c r="N24" s="27">
        <f>SUMIF($Q$4:$Q$18,L24,$R$4:$R$18)/M24</f>
        <v>13.375</v>
      </c>
      <c r="P24" s="211">
        <f>SUM(P4:P18)</f>
        <v>36.07271784425793</v>
      </c>
      <c r="T24" s="316">
        <v>9</v>
      </c>
      <c r="U24" s="213">
        <f>VLOOKUP($T24,$T$4:$X$18,2)</f>
        <v>-0.55794916611014811</v>
      </c>
      <c r="V24" s="21">
        <f>VLOOKUP($T24,$T$4:$X$18,3)</f>
        <v>0.76182166576109622</v>
      </c>
      <c r="W24" s="21">
        <f>VLOOKUP($T24,$T$4:$X$18,4)</f>
        <v>0.73418147340928963</v>
      </c>
      <c r="X24" s="317">
        <f>VLOOKUP($T24,$T$4:$X$18,5)</f>
        <v>0.15227739752537556</v>
      </c>
      <c r="Z24" s="8">
        <v>3</v>
      </c>
      <c r="AA24" s="8">
        <f>COUNTIF($AE$4:$AE$18,Z24)</f>
        <v>7</v>
      </c>
      <c r="AB24" s="27">
        <f>SUMIF($AE$4:$AE$18,Z24,$AF$4:$AF$18)/AA24</f>
        <v>16.428571428571427</v>
      </c>
      <c r="AD24" s="211">
        <f>SUM(AD4:AD18)</f>
        <v>28.137023896852604</v>
      </c>
    </row>
    <row r="25" spans="1:56" x14ac:dyDescent="0.3">
      <c r="F25" s="316">
        <v>4</v>
      </c>
      <c r="G25" s="246">
        <f>VLOOKUP($F25,$F$4:$J$18,2)</f>
        <v>0.16981061577265297</v>
      </c>
      <c r="H25" s="209">
        <f>VLOOKUP($F25,$F$4:$J$18,3)</f>
        <v>-0.21766333307459867</v>
      </c>
      <c r="I25" s="209">
        <f>VLOOKUP($F25,$F$4:$J$18,4)</f>
        <v>-0.33156582670096962</v>
      </c>
      <c r="J25" s="245">
        <f>VLOOKUP($F25,$F$4:$J$18,5)</f>
        <v>-0.4187628431947848</v>
      </c>
      <c r="L25" s="8">
        <v>4</v>
      </c>
      <c r="M25" s="8">
        <f>COUNTIF($Q$4:$Q$18,L25)</f>
        <v>4</v>
      </c>
      <c r="N25" s="27">
        <f>SUMIF($Q$4:$Q$18,L25,$R$4:$R$18)/M25</f>
        <v>15.5625</v>
      </c>
      <c r="P25" t="str">
        <f ca="1">_xlfn.FORMULATEXT(P24)</f>
        <v>=SUM(P4:P18)</v>
      </c>
      <c r="T25" s="316">
        <v>6</v>
      </c>
      <c r="U25" s="246">
        <f>VLOOKUP($T25,$T$4:$X$18,2)</f>
        <v>0.89757039765545399</v>
      </c>
      <c r="V25" s="209">
        <f>VLOOKUP($T25,$T$4:$X$18,3)</f>
        <v>-0.54415833268649705</v>
      </c>
      <c r="W25" s="209">
        <f>VLOOKUP($T25,$T$4:$X$18,4)</f>
        <v>-0.33156582670096962</v>
      </c>
      <c r="X25" s="245">
        <f>VLOOKUP($T25,$T$4:$X$18,5)</f>
        <v>1.2943578789656962</v>
      </c>
      <c r="Z25" s="8">
        <v>4</v>
      </c>
      <c r="AA25" s="8">
        <f>COUNTIF($AE$4:$AE$18,Z25)</f>
        <v>2</v>
      </c>
      <c r="AB25" s="27">
        <f>SUMIF($AE$4:$AE$18,Z25,$AF$4:$AF$18)/AA25</f>
        <v>15.875</v>
      </c>
      <c r="AD25" t="str">
        <f ca="1">_xlfn.FORMULATEXT(AD24)</f>
        <v>=SUM(AD4:AD18)</v>
      </c>
    </row>
    <row r="26" spans="1:56" x14ac:dyDescent="0.3">
      <c r="G26" s="21" t="str">
        <f ca="1">_xlfn.FORMULATEXT(G22)</f>
        <v>=VLOOKUP($F22,$F$4:$J$18,2)</v>
      </c>
      <c r="M26" s="112" t="str">
        <f ca="1">_xlfn.FORMULATEXT(M22)</f>
        <v>=COUNTIF($Q$4:$Q$18,L22)</v>
      </c>
      <c r="U26" s="21" t="str">
        <f ca="1">_xlfn.FORMULATEXT(U22)</f>
        <v>=VLOOKUP($T22,$T$4:$X$18,2)</v>
      </c>
      <c r="AA26" s="112" t="str">
        <f ca="1">_xlfn.FORMULATEXT(AA22)</f>
        <v>=COUNTIF($AE$4:$AE$18,Z22)</v>
      </c>
    </row>
    <row r="27" spans="1:56" x14ac:dyDescent="0.3">
      <c r="N27" t="str">
        <f ca="1">_xlfn.FORMULATEXT(N22)</f>
        <v>=SUMIF($Q$4:$Q$18,L22,$R$4:$R$18)/M22</v>
      </c>
      <c r="AB27" t="str">
        <f ca="1">_xlfn.FORMULATEXT(AB22)</f>
        <v>=SUMIF($AE$4:$AE$18,Z22,$AF$4:$AF$18)/AA22</v>
      </c>
    </row>
    <row r="29" spans="1:56" x14ac:dyDescent="0.3">
      <c r="N29" s="21"/>
      <c r="AB29" s="21"/>
    </row>
  </sheetData>
  <mergeCells count="4">
    <mergeCell ref="AO2:AR2"/>
    <mergeCell ref="AS2:AV2"/>
    <mergeCell ref="AW2:AZ2"/>
    <mergeCell ref="BA2:BD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A3D1B-851C-4DF4-B0C0-A34D07C07B99}">
  <dimension ref="A2:V35"/>
  <sheetViews>
    <sheetView workbookViewId="0">
      <selection activeCell="F1" sqref="F1"/>
    </sheetView>
  </sheetViews>
  <sheetFormatPr defaultRowHeight="14.4" x14ac:dyDescent="0.3"/>
  <cols>
    <col min="1" max="1" width="3.5546875" customWidth="1"/>
    <col min="6" max="6" width="3.109375" customWidth="1"/>
    <col min="8" max="8" width="3.88671875" customWidth="1"/>
    <col min="9" max="9" width="5.88671875" customWidth="1"/>
    <col min="11" max="11" width="4.33203125" customWidth="1"/>
    <col min="17" max="17" width="3.88671875" customWidth="1"/>
  </cols>
  <sheetData>
    <row r="2" spans="1:22" x14ac:dyDescent="0.3">
      <c r="B2" t="s">
        <v>583</v>
      </c>
      <c r="G2" t="s">
        <v>315</v>
      </c>
    </row>
    <row r="3" spans="1:22" x14ac:dyDescent="0.3">
      <c r="B3" s="8" t="s">
        <v>178</v>
      </c>
      <c r="C3" s="8" t="s">
        <v>177</v>
      </c>
      <c r="D3" s="8" t="s">
        <v>176</v>
      </c>
      <c r="E3" s="8" t="s">
        <v>301</v>
      </c>
      <c r="G3" s="8" t="s">
        <v>332</v>
      </c>
      <c r="J3" s="8" t="s">
        <v>299</v>
      </c>
      <c r="L3" t="s">
        <v>331</v>
      </c>
      <c r="M3">
        <v>1</v>
      </c>
      <c r="N3">
        <f>M3+1</f>
        <v>2</v>
      </c>
      <c r="O3">
        <f>N3+1</f>
        <v>3</v>
      </c>
      <c r="P3">
        <f>O3+1</f>
        <v>4</v>
      </c>
      <c r="R3">
        <v>1</v>
      </c>
      <c r="S3">
        <f>R3+1</f>
        <v>2</v>
      </c>
      <c r="T3">
        <f>S3+1</f>
        <v>3</v>
      </c>
      <c r="U3">
        <f>T3+1</f>
        <v>4</v>
      </c>
      <c r="V3" s="2" t="s">
        <v>330</v>
      </c>
    </row>
    <row r="4" spans="1:22" x14ac:dyDescent="0.3">
      <c r="A4">
        <v>1</v>
      </c>
      <c r="B4" s="142">
        <v>0.89757039765545399</v>
      </c>
      <c r="C4" s="141">
        <v>-0.87065333229839537</v>
      </c>
      <c r="D4" s="141">
        <v>-1.0420640267744758</v>
      </c>
      <c r="E4" s="140">
        <v>1.2943578789656962</v>
      </c>
      <c r="G4" s="8">
        <v>1</v>
      </c>
      <c r="I4">
        <v>1</v>
      </c>
      <c r="J4" s="123">
        <f t="array" ref="J4:J18">[2]!CLUST(B4:E18,M9,G4:G18,M11,,M15)</f>
        <v>3</v>
      </c>
      <c r="L4" t="s">
        <v>329</v>
      </c>
      <c r="M4" s="118">
        <f>AVERAGEIF($J$4:$J$18,M$3,$B$4:$B$18)</f>
        <v>-0.80053576007108163</v>
      </c>
      <c r="N4" s="120">
        <f>AVERAGEIF($J$4:$J$18,N$3,$B$4:$B$18)</f>
        <v>0.89757039765545399</v>
      </c>
      <c r="O4" s="120">
        <f>AVERAGEIF($J$4:$J$18,O$3,$B$4:$B$18)</f>
        <v>0.89757039765545399</v>
      </c>
      <c r="P4" s="243">
        <f>AVERAGEIF($J$4:$J$18,P$3,$B$4:$B$18)</f>
        <v>7.8840643037302843E-2</v>
      </c>
      <c r="R4" s="242" cm="1">
        <f t="array" ref="R4">SUM(ABS(TRANSPOSE($B4:$E4)-M$4:M$7)^$M$11)</f>
        <v>8.8326525185683042</v>
      </c>
      <c r="S4" s="241">
        <f t="array" ref="S4">SUM(ABS(TRANSPOSE($B4:$E4)-N$4:N$7)^$M$11)</f>
        <v>8.5541738111810872</v>
      </c>
      <c r="T4" s="241">
        <f t="array" ref="T4">SUM(ABS(TRANSPOSE($B4:$E4)-O$4:O$7)^$M$11)</f>
        <v>0.15285166926981644</v>
      </c>
      <c r="U4" s="240">
        <f t="array" ref="U4">SUM(ABS(TRANSPOSE($B4:$E4)-P$4:P$7)^$M$11)</f>
        <v>4.6715460650366198</v>
      </c>
      <c r="V4" s="239">
        <f t="shared" ref="V4:V18" si="0">MIN(R4:U4)</f>
        <v>0.15285166926981644</v>
      </c>
    </row>
    <row r="5" spans="1:22" x14ac:dyDescent="0.3">
      <c r="A5">
        <v>2</v>
      </c>
      <c r="B5" s="265">
        <v>-0.55794916611014811</v>
      </c>
      <c r="C5" s="27">
        <v>0.43532666614919796</v>
      </c>
      <c r="D5" s="27">
        <v>0.37893237337253649</v>
      </c>
      <c r="E5" s="264">
        <v>-0.4187628431947848</v>
      </c>
      <c r="G5" s="8">
        <v>2</v>
      </c>
      <c r="I5">
        <f t="shared" ref="I5:I18" si="1">I4+1</f>
        <v>2</v>
      </c>
      <c r="J5" s="122">
        <v>1</v>
      </c>
      <c r="L5" t="s">
        <v>328</v>
      </c>
      <c r="M5" s="116">
        <f>AVERAGEIF($J$4:$J$18,M$3,$C$4:$C$18)</f>
        <v>0.81623749902974596</v>
      </c>
      <c r="N5">
        <f>AVERAGEIF($J$4:$J$18,N$3,$C$4:$C$18)</f>
        <v>-0.1088316665372993</v>
      </c>
      <c r="O5">
        <f>AVERAGEIF($J$4:$J$18,O$3,$C$4:$C$18)</f>
        <v>-0.70740583249244615</v>
      </c>
      <c r="P5" s="238">
        <f>AVERAGEIF($J$4:$J$18,P$3,$C$4:$C$18)</f>
        <v>-0.78902958239542076</v>
      </c>
      <c r="R5" s="235">
        <f t="array" ref="R5">SUM(ABS(TRANSPOSE($B5:$E5)-M$4:M$7)^$M$11)</f>
        <v>0.95165940624666745</v>
      </c>
      <c r="S5" s="21">
        <f t="array" ref="S5">SUM(ABS(TRANSPOSE($B5:$E5)-N$4:N$7)^$M$11)</f>
        <v>2.7839320021274157</v>
      </c>
      <c r="T5" s="21">
        <f t="array" ref="T5">SUM(ABS(TRANSPOSE($B5:$E5)-O$4:O$7)^$M$11)</f>
        <v>7.4949746803441384</v>
      </c>
      <c r="U5" s="234">
        <f t="array" ref="U5">SUM(ABS(TRANSPOSE($B5:$E5)-P$4:P$7)^$M$11)</f>
        <v>4.005301992745502</v>
      </c>
      <c r="V5" s="233">
        <f t="shared" si="0"/>
        <v>0.95165940624666745</v>
      </c>
    </row>
    <row r="6" spans="1:22" x14ac:dyDescent="0.3">
      <c r="A6">
        <v>3</v>
      </c>
      <c r="B6" s="265">
        <v>-0.19406927516874753</v>
      </c>
      <c r="C6" s="27">
        <v>-0.54415833268649705</v>
      </c>
      <c r="D6" s="27">
        <v>-0.68681492673772271</v>
      </c>
      <c r="E6" s="264">
        <v>-1.5608433246351054</v>
      </c>
      <c r="G6" s="8">
        <v>3</v>
      </c>
      <c r="I6">
        <f t="shared" si="1"/>
        <v>3</v>
      </c>
      <c r="J6" s="122">
        <v>4</v>
      </c>
      <c r="L6" t="s">
        <v>327</v>
      </c>
      <c r="M6" s="116">
        <f>AVERAGEIF($J$4:$J$18,M$3,$D$4:$D$18)</f>
        <v>0.49734874005145419</v>
      </c>
      <c r="N6">
        <f>AVERAGEIF($J$4:$J$18,N$3,$D$4:$D$18)</f>
        <v>0.85259784008820727</v>
      </c>
      <c r="O6">
        <f>AVERAGEIF($J$4:$J$18,O$3,$D$4:$D$18)</f>
        <v>-0.68681492673772271</v>
      </c>
      <c r="P6" s="238">
        <f>AVERAGEIF($J$4:$J$18,P$3,$D$4:$D$18)</f>
        <v>-1.0420640267744758</v>
      </c>
      <c r="R6" s="235">
        <f t="array" ref="R6">SUM(ABS(TRANSPOSE($B6:$E6)-M$4:M$7)^$M$11)</f>
        <v>7.6152872233956082</v>
      </c>
      <c r="S6" s="21">
        <f t="array" ref="S6">SUM(ABS(TRANSPOSE($B6:$E6)-N$4:N$7)^$M$11)</f>
        <v>4.3306882931385049</v>
      </c>
      <c r="T6" s="21">
        <f t="array" ref="T6">SUM(ABS(TRANSPOSE($B6:$E6)-O$4:O$7)^$M$11)</f>
        <v>9.3705008345200884</v>
      </c>
      <c r="U6" s="234">
        <f t="array" ref="U6">SUM(ABS(TRANSPOSE($B6:$E6)-P$4:P$7)^$M$11)</f>
        <v>0.99433932764007815</v>
      </c>
      <c r="V6" s="233">
        <f t="shared" si="0"/>
        <v>0.99433932764007815</v>
      </c>
    </row>
    <row r="7" spans="1:22" x14ac:dyDescent="0.3">
      <c r="A7">
        <v>4</v>
      </c>
      <c r="B7" s="265">
        <v>0.16981061577265297</v>
      </c>
      <c r="C7" s="27">
        <v>-0.21766333307459867</v>
      </c>
      <c r="D7" s="27">
        <v>-0.33156582670096962</v>
      </c>
      <c r="E7" s="264">
        <v>-0.4187628431947848</v>
      </c>
      <c r="G7" s="8">
        <v>4</v>
      </c>
      <c r="I7" s="2">
        <f t="shared" si="1"/>
        <v>4</v>
      </c>
      <c r="J7" s="122">
        <v>4</v>
      </c>
      <c r="L7" t="s">
        <v>326</v>
      </c>
      <c r="M7" s="114">
        <f>AVERAGEIF($J$4:$J$18,M$3,$E$4:$E$18)</f>
        <v>0.43779751788545568</v>
      </c>
      <c r="N7" s="119">
        <f>AVERAGEIF($J$4:$J$18,N$3,$E$4:$E$18)</f>
        <v>-0.79945633700822505</v>
      </c>
      <c r="O7" s="119">
        <f>AVERAGEIF($J$4:$J$18,O$3,$E$4:$E$18)</f>
        <v>1.2943578789656962</v>
      </c>
      <c r="P7" s="237">
        <f>AVERAGEIF($J$4:$J$18,P$3,$E$4:$E$18)</f>
        <v>-0.70428296355486497</v>
      </c>
      <c r="R7" s="235">
        <f t="array" ref="R7">SUM(ABS(TRANSPOSE($B7:$E7)-M$4:M$7)^$M$11)</f>
        <v>3.4313180308873967</v>
      </c>
      <c r="S7" s="21">
        <f t="array" ref="S7">SUM(ABS(TRANSPOSE($B7:$E7)-N$4:N$7)^$M$11)</f>
        <v>2.0886497577428607</v>
      </c>
      <c r="T7" s="21">
        <f t="array" ref="T7">SUM(ABS(TRANSPOSE($B7:$E7)-O$4:O$7)^$M$11)</f>
        <v>3.8304665476347135</v>
      </c>
      <c r="U7" s="234">
        <f t="array" ref="U7">SUM(ABS(TRANSPOSE($B7:$E7)-P$4:P$7)^$M$11)</f>
        <v>0.921064358240541</v>
      </c>
      <c r="V7" s="233">
        <f t="shared" si="0"/>
        <v>0.921064358240541</v>
      </c>
    </row>
    <row r="8" spans="1:22" x14ac:dyDescent="0.3">
      <c r="A8">
        <v>5</v>
      </c>
      <c r="B8" s="265">
        <v>0.89757039765545399</v>
      </c>
      <c r="C8" s="27">
        <v>-0.87065333229839537</v>
      </c>
      <c r="D8" s="27">
        <v>1.4446796734827958</v>
      </c>
      <c r="E8" s="264">
        <v>-0.4187628431947848</v>
      </c>
      <c r="G8" s="8">
        <v>1</v>
      </c>
      <c r="I8">
        <f t="shared" si="1"/>
        <v>5</v>
      </c>
      <c r="J8" s="122">
        <v>2</v>
      </c>
      <c r="R8" s="235">
        <f t="array" ref="R8">SUM(ABS(TRANSPOSE($B8:$E8)-M$4:M$7)^$M$11)</f>
        <v>7.3602967493375351</v>
      </c>
      <c r="S8" s="21">
        <f t="array" ref="S8">SUM(ABS(TRANSPOSE($B8:$E8)-N$4:N$7)^$M$11)</f>
        <v>1.0758606840907923</v>
      </c>
      <c r="T8" s="21">
        <f t="array" ref="T8">SUM(ABS(TRANSPOSE($B8:$E8)-O$4:O$7)^$M$11)</f>
        <v>7.5047015856577692</v>
      </c>
      <c r="U8" s="234">
        <f t="array" ref="U8">SUM(ABS(TRANSPOSE($B8:$E8)-P$4:P$7)^$M$11)</f>
        <v>6.9423968175449824</v>
      </c>
      <c r="V8" s="233">
        <f t="shared" si="0"/>
        <v>1.0758606840907923</v>
      </c>
    </row>
    <row r="9" spans="1:22" x14ac:dyDescent="0.3">
      <c r="A9">
        <v>6</v>
      </c>
      <c r="B9" s="265">
        <v>0.89757039765545399</v>
      </c>
      <c r="C9" s="27">
        <v>-0.54415833268649705</v>
      </c>
      <c r="D9" s="27">
        <v>-0.33156582670096962</v>
      </c>
      <c r="E9" s="264">
        <v>1.2943578789656962</v>
      </c>
      <c r="G9" s="8">
        <v>2</v>
      </c>
      <c r="I9">
        <f t="shared" si="1"/>
        <v>6</v>
      </c>
      <c r="J9" s="122">
        <v>3</v>
      </c>
      <c r="L9" t="s">
        <v>325</v>
      </c>
      <c r="M9" s="133">
        <v>4</v>
      </c>
      <c r="R9" s="235">
        <f t="array" ref="R9">SUM(ABS(TRANSPOSE($B9:$E9)-M$4:M$7)^$M$11)</f>
        <v>6.1550363530079766</v>
      </c>
      <c r="S9" s="21">
        <f t="array" ref="S9">SUM(ABS(TRANSPOSE($B9:$E9)-N$4:N$7)^$M$11)</f>
        <v>5.9758108670186516</v>
      </c>
      <c r="T9" s="21">
        <f t="array" ref="T9">SUM(ABS(TRANSPOSE($B9:$E9)-O$4:O$7)^$M$11)</f>
        <v>0.15285166926981633</v>
      </c>
      <c r="U9" s="234">
        <f t="array" ref="U9">SUM(ABS(TRANSPOSE($B9:$E9)-P$4:P$7)^$M$11)</f>
        <v>5.2296532497300987</v>
      </c>
      <c r="V9" s="233">
        <f t="shared" si="0"/>
        <v>0.15285166926981633</v>
      </c>
    </row>
    <row r="10" spans="1:22" x14ac:dyDescent="0.3">
      <c r="A10">
        <v>7</v>
      </c>
      <c r="B10" s="265">
        <v>-0.55794916611014811</v>
      </c>
      <c r="C10" s="27">
        <v>-0.54415833268649705</v>
      </c>
      <c r="D10" s="27">
        <v>1.0894305734460425</v>
      </c>
      <c r="E10" s="264">
        <v>0.72331763824553585</v>
      </c>
      <c r="G10" s="8">
        <v>3</v>
      </c>
      <c r="I10">
        <f t="shared" si="1"/>
        <v>7</v>
      </c>
      <c r="J10" s="122">
        <v>1</v>
      </c>
      <c r="R10" s="235">
        <f t="array" ref="R10">SUM(ABS(TRANSPOSE($B10:$E10)-M$4:M$7)^$M$11)</f>
        <v>2.341607711086827</v>
      </c>
      <c r="S10" s="21">
        <f t="array" ref="S10">SUM(ABS(TRANSPOSE($B10:$E10)-N$4:N$7)^$M$11)</f>
        <v>4.6829768300648684</v>
      </c>
      <c r="T10" s="21">
        <f t="array" ref="T10">SUM(ABS(TRANSPOSE($B10:$E10)-O$4:O$7)^$M$11)</f>
        <v>5.6263219801421149</v>
      </c>
      <c r="U10" s="234">
        <f t="array" ref="U10">SUM(ABS(TRANSPOSE($B10:$E10)-P$4:P$7)^$M$11)</f>
        <v>7.0467758989981517</v>
      </c>
      <c r="V10" s="233">
        <f t="shared" si="0"/>
        <v>2.341607711086827</v>
      </c>
    </row>
    <row r="11" spans="1:22" x14ac:dyDescent="0.3">
      <c r="A11">
        <v>8</v>
      </c>
      <c r="B11" s="265">
        <v>0.53369050671405349</v>
      </c>
      <c r="C11" s="27">
        <v>1.0883166653729945</v>
      </c>
      <c r="D11" s="27">
        <v>0.37893237337253649</v>
      </c>
      <c r="E11" s="264">
        <v>-0.4187628431947848</v>
      </c>
      <c r="G11" s="8">
        <v>4</v>
      </c>
      <c r="I11">
        <f t="shared" si="1"/>
        <v>8</v>
      </c>
      <c r="J11" s="122">
        <v>2</v>
      </c>
      <c r="L11" t="s">
        <v>324</v>
      </c>
      <c r="M11" s="133">
        <v>2</v>
      </c>
      <c r="R11" s="235">
        <f t="array" ref="R11">SUM(ABS(TRANSPOSE($B11:$E11)-M$4:M$7)^$M$11)</f>
        <v>2.6019048918087835</v>
      </c>
      <c r="S11" s="21">
        <f t="array" ref="S11">SUM(ABS(TRANSPOSE($B11:$E11)-N$4:N$7)^$M$11)</f>
        <v>1.9348592142179826</v>
      </c>
      <c r="T11" s="21">
        <f t="array" ref="T11">SUM(ABS(TRANSPOSE($B11:$E11)-O$4:O$7)^$M$11)</f>
        <v>7.4276277807595781</v>
      </c>
      <c r="U11" s="234">
        <f t="array" ref="U11">SUM(ABS(TRANSPOSE($B11:$E11)-P$4:P$7)^$M$11)</f>
        <v>5.8320698408581091</v>
      </c>
      <c r="V11" s="233">
        <f t="shared" si="0"/>
        <v>1.9348592142179826</v>
      </c>
    </row>
    <row r="12" spans="1:22" x14ac:dyDescent="0.3">
      <c r="A12">
        <v>9</v>
      </c>
      <c r="B12" s="265">
        <v>-0.55794916611014811</v>
      </c>
      <c r="C12" s="27">
        <v>0.76182166576109622</v>
      </c>
      <c r="D12" s="27">
        <v>0.73418147340928963</v>
      </c>
      <c r="E12" s="264">
        <v>0.15227739752537556</v>
      </c>
      <c r="G12" s="8">
        <v>1</v>
      </c>
      <c r="I12">
        <f t="shared" si="1"/>
        <v>9</v>
      </c>
      <c r="J12" s="122">
        <v>1</v>
      </c>
      <c r="R12" s="235">
        <f t="array" ref="R12">SUM(ABS(TRANSPOSE($B12:$E12)-M$4:M$7)^$M$11)</f>
        <v>0.19942082120006654</v>
      </c>
      <c r="S12" s="21">
        <f t="array" ref="S12">SUM(ABS(TRANSPOSE($B12:$E12)-N$4:N$7)^$M$11)</f>
        <v>3.7963939628934185</v>
      </c>
      <c r="T12" s="21">
        <f t="array" ref="T12">SUM(ABS(TRANSPOSE($B12:$E12)-O$4:O$7)^$M$11)</f>
        <v>7.6007452374464943</v>
      </c>
      <c r="U12" s="234">
        <f t="array" ref="U12">SUM(ABS(TRANSPOSE($B12:$E12)-P$4:P$7)^$M$11)</f>
        <v>6.6993845840396604</v>
      </c>
      <c r="V12" s="233">
        <f t="shared" si="0"/>
        <v>0.19942082120006654</v>
      </c>
    </row>
    <row r="13" spans="1:22" x14ac:dyDescent="0.3">
      <c r="A13">
        <v>10</v>
      </c>
      <c r="B13" s="265">
        <v>-1.2857089479929491</v>
      </c>
      <c r="C13" s="27">
        <v>1.0883166653729945</v>
      </c>
      <c r="D13" s="27">
        <v>-0.68681492673772271</v>
      </c>
      <c r="E13" s="264">
        <v>0.72331763824553585</v>
      </c>
      <c r="G13" s="8">
        <v>2</v>
      </c>
      <c r="I13">
        <f t="shared" si="1"/>
        <v>10</v>
      </c>
      <c r="J13" s="122">
        <v>1</v>
      </c>
      <c r="L13" t="s">
        <v>323</v>
      </c>
      <c r="M13" s="236" t="s">
        <v>322</v>
      </c>
      <c r="R13" s="235">
        <f t="array" ref="R13">SUM(ABS(TRANSPOSE($B13:$E13)-M$4:M$7)^$M$11)</f>
        <v>1.793185423910328</v>
      </c>
      <c r="S13" s="21">
        <f t="array" ref="S13">SUM(ABS(TRANSPOSE($B13:$E13)-N$4:N$7)^$M$11)</f>
        <v>10.888505076107323</v>
      </c>
      <c r="T13" s="21">
        <f t="array" ref="T13">SUM(ABS(TRANSPOSE($B13:$E13)-O$4:O$7)^$M$11)</f>
        <v>8.3174149469967542</v>
      </c>
      <c r="U13" s="234">
        <f t="array" ref="U13">SUM(ABS(TRANSPOSE($B13:$E13)-P$4:P$7)^$M$11)</f>
        <v>7.5506699217287654</v>
      </c>
      <c r="V13" s="233">
        <f t="shared" si="0"/>
        <v>1.793185423910328</v>
      </c>
    </row>
    <row r="14" spans="1:22" x14ac:dyDescent="0.3">
      <c r="A14">
        <v>11</v>
      </c>
      <c r="B14" s="265">
        <v>-0.55794916611014811</v>
      </c>
      <c r="C14" s="27">
        <v>-1.523643331522192</v>
      </c>
      <c r="D14" s="27">
        <v>-1.7525622268479819</v>
      </c>
      <c r="E14" s="264">
        <v>-0.4187628431947848</v>
      </c>
      <c r="G14" s="8">
        <v>3</v>
      </c>
      <c r="I14">
        <f t="shared" si="1"/>
        <v>11</v>
      </c>
      <c r="J14" s="122">
        <v>4</v>
      </c>
      <c r="R14" s="235">
        <f t="array" ref="R14">SUM(ABS(TRANSPOSE($B14:$E14)-M$4:M$7)^$M$11)</f>
        <v>11.329685567902262</v>
      </c>
      <c r="S14" s="21">
        <f t="array" ref="S14">SUM(ABS(TRANSPOSE($B14:$E14)-N$4:N$7)^$M$11)</f>
        <v>11.052015758472587</v>
      </c>
      <c r="T14" s="21">
        <f t="array" ref="T14">SUM(ABS(TRANSPOSE($B14:$E14)-O$4:O$7)^$M$11)</f>
        <v>6.8553807717146977</v>
      </c>
      <c r="U14" s="234">
        <f t="array" ref="U14">SUM(ABS(TRANSPOSE($B14:$E14)-P$4:P$7)^$M$11)</f>
        <v>1.5314880528782644</v>
      </c>
      <c r="V14" s="233">
        <f t="shared" si="0"/>
        <v>1.5314880528782644</v>
      </c>
    </row>
    <row r="15" spans="1:22" x14ac:dyDescent="0.3">
      <c r="A15">
        <v>12</v>
      </c>
      <c r="B15" s="265">
        <v>0.89757039765545399</v>
      </c>
      <c r="C15" s="27">
        <v>-0.87065333229839537</v>
      </c>
      <c r="D15" s="27">
        <v>-1.3973131268112289</v>
      </c>
      <c r="E15" s="264">
        <v>-0.4187628431947848</v>
      </c>
      <c r="G15" s="8">
        <v>4</v>
      </c>
      <c r="I15">
        <f t="shared" si="1"/>
        <v>12</v>
      </c>
      <c r="J15" s="122">
        <v>4</v>
      </c>
      <c r="L15" t="s">
        <v>321</v>
      </c>
      <c r="M15" s="133">
        <v>200</v>
      </c>
      <c r="R15" s="235">
        <f t="array" ref="R15">SUM(ABS(TRANSPOSE($B15:$E15)-M$4:M$7)^$M$11)</f>
        <v>10.052604441645226</v>
      </c>
      <c r="S15" s="21">
        <f t="array" ref="S15">SUM(ABS(TRANSPOSE($B15:$E15)-N$4:N$7)^$M$11)</f>
        <v>5.7873991456292497</v>
      </c>
      <c r="T15" s="21">
        <f t="array" ref="T15">SUM(ABS(TRANSPOSE($B15:$E15)-O$4:O$7)^$M$11)</f>
        <v>3.4662400471962331</v>
      </c>
      <c r="U15" s="234">
        <f t="array" ref="U15">SUM(ABS(TRANSPOSE($B15:$E15)-P$4:P$7)^$M$11)</f>
        <v>0.88470450985267879</v>
      </c>
      <c r="V15" s="233">
        <f t="shared" si="0"/>
        <v>0.88470450985267879</v>
      </c>
    </row>
    <row r="16" spans="1:22" x14ac:dyDescent="0.3">
      <c r="A16">
        <v>13</v>
      </c>
      <c r="B16" s="265">
        <v>-2.3773486208171506</v>
      </c>
      <c r="C16" s="27">
        <v>1.414811664984893</v>
      </c>
      <c r="D16" s="27">
        <v>2.3683273335783454E-2</v>
      </c>
      <c r="E16" s="264">
        <v>-0.4187628431947848</v>
      </c>
      <c r="G16" s="8">
        <v>1</v>
      </c>
      <c r="I16">
        <f t="shared" si="1"/>
        <v>13</v>
      </c>
      <c r="J16" s="122">
        <v>1</v>
      </c>
      <c r="R16" s="235">
        <f t="array" ref="R16">SUM(ABS(TRANSPOSE($B16:$E16)-M$4:M$7)^$M$11)</f>
        <v>3.8026844564959879</v>
      </c>
      <c r="S16" s="21">
        <f t="array" ref="S16">SUM(ABS(TRANSPOSE($B16:$E16)-N$4:N$7)^$M$11)</f>
        <v>13.878610474451854</v>
      </c>
      <c r="T16" s="21">
        <f t="array" ref="T16">SUM(ABS(TRANSPOSE($B16:$E16)-O$4:O$7)^$M$11)</f>
        <v>18.668491985155885</v>
      </c>
      <c r="U16" s="234">
        <f t="array" ref="U16">SUM(ABS(TRANSPOSE($B16:$E16)-P$4:P$7)^$M$11)</f>
        <v>12.107120990351442</v>
      </c>
      <c r="V16" s="233">
        <f t="shared" si="0"/>
        <v>3.8026844564959879</v>
      </c>
    </row>
    <row r="17" spans="1:22" x14ac:dyDescent="0.3">
      <c r="A17">
        <v>14</v>
      </c>
      <c r="B17" s="265">
        <v>1.2614502885968546</v>
      </c>
      <c r="C17" s="27">
        <v>-0.54415833268649705</v>
      </c>
      <c r="D17" s="27">
        <v>0.73418147340928963</v>
      </c>
      <c r="E17" s="264">
        <v>-1.5608433246351054</v>
      </c>
      <c r="G17" s="8">
        <v>2</v>
      </c>
      <c r="I17">
        <f t="shared" si="1"/>
        <v>14</v>
      </c>
      <c r="J17" s="122">
        <v>2</v>
      </c>
      <c r="L17" t="s">
        <v>320</v>
      </c>
      <c r="M17" s="133" t="b">
        <f>[2]!CLUST_Converge(B4:E18,J4:J18)</f>
        <v>1</v>
      </c>
      <c r="R17" s="235">
        <f t="array" ref="R17">SUM(ABS(TRANSPOSE($B17:$E17)-M$4:M$7)^$M$11)</f>
        <v>10.153118244833179</v>
      </c>
      <c r="S17" s="21">
        <f t="array" ref="S17">SUM(ABS(TRANSPOSE($B17:$E17)-N$4:N$7)^$M$11)</f>
        <v>0.91565046211707191</v>
      </c>
      <c r="T17" s="21">
        <f t="array" ref="T17">SUM(ABS(TRANSPOSE($B17:$E17)-O$4:O$7)^$M$11)</f>
        <v>10.330463003498654</v>
      </c>
      <c r="U17" s="234">
        <f t="array" ref="U17">SUM(ABS(TRANSPOSE($B17:$E17)-P$4:P$7)^$M$11)</f>
        <v>5.3472712318014857</v>
      </c>
      <c r="V17" s="233">
        <f t="shared" si="0"/>
        <v>0.91565046211707191</v>
      </c>
    </row>
    <row r="18" spans="1:22" x14ac:dyDescent="0.3">
      <c r="A18">
        <v>15</v>
      </c>
      <c r="B18" s="260">
        <v>0.53369050671405349</v>
      </c>
      <c r="C18" s="259">
        <v>1.7413066645967912</v>
      </c>
      <c r="D18" s="259">
        <v>1.4446796734827958</v>
      </c>
      <c r="E18" s="258">
        <v>1.8653981196858564</v>
      </c>
      <c r="G18" s="8">
        <v>3</v>
      </c>
      <c r="I18">
        <f t="shared" si="1"/>
        <v>15</v>
      </c>
      <c r="J18" s="121">
        <v>1</v>
      </c>
      <c r="R18" s="230">
        <f t="array" ref="R18">SUM(ABS(TRANSPOSE($B18:$E18)-M$4:M$7)^$M$11)</f>
        <v>5.5713920677590707</v>
      </c>
      <c r="S18" s="229">
        <f t="array" ref="S18">SUM(ABS(TRANSPOSE($B18:$E18)-N$4:N$7)^$M$11)</f>
        <v>11.00743059216137</v>
      </c>
      <c r="T18" s="229">
        <f t="array" ref="T18">SUM(ABS(TRANSPOSE($B18:$E18)-O$4:O$7)^$M$11)</f>
        <v>10.9979576557235</v>
      </c>
      <c r="U18" s="228">
        <f t="array" ref="U18">SUM(ABS(TRANSPOSE($B18:$E18)-P$4:P$7)^$M$11)</f>
        <v>19.396645021663822</v>
      </c>
      <c r="V18" s="227">
        <f t="shared" si="0"/>
        <v>5.5713920677590707</v>
      </c>
    </row>
    <row r="19" spans="1:22" x14ac:dyDescent="0.3">
      <c r="G19" s="8"/>
      <c r="L19" s="333" t="s">
        <v>319</v>
      </c>
      <c r="M19" s="332">
        <f>SUM(V4:V18)</f>
        <v>23.22361983427599</v>
      </c>
    </row>
    <row r="21" spans="1:22" x14ac:dyDescent="0.3">
      <c r="B21" s="21"/>
      <c r="C21" s="21"/>
      <c r="D21" s="21"/>
      <c r="E21" s="21"/>
    </row>
    <row r="22" spans="1:22" x14ac:dyDescent="0.3">
      <c r="B22" s="21"/>
      <c r="C22" s="21"/>
      <c r="D22" s="21"/>
      <c r="E22" s="21"/>
    </row>
    <row r="23" spans="1:22" x14ac:dyDescent="0.3">
      <c r="B23" s="21"/>
      <c r="C23" s="21"/>
      <c r="D23" s="21"/>
      <c r="E23" s="21"/>
    </row>
    <row r="24" spans="1:22" x14ac:dyDescent="0.3">
      <c r="B24" s="21"/>
      <c r="C24" s="21"/>
      <c r="D24" s="21"/>
      <c r="E24" s="21"/>
    </row>
    <row r="25" spans="1:22" x14ac:dyDescent="0.3">
      <c r="B25" s="21"/>
      <c r="C25" s="21"/>
      <c r="D25" s="21"/>
      <c r="E25" s="21"/>
    </row>
    <row r="26" spans="1:22" x14ac:dyDescent="0.3">
      <c r="B26" s="21"/>
      <c r="C26" s="21"/>
      <c r="D26" s="21"/>
      <c r="E26" s="21"/>
    </row>
    <row r="27" spans="1:22" x14ac:dyDescent="0.3">
      <c r="B27" s="21"/>
      <c r="C27" s="21"/>
      <c r="D27" s="21"/>
      <c r="E27" s="21"/>
    </row>
    <row r="28" spans="1:22" x14ac:dyDescent="0.3">
      <c r="B28" s="21"/>
      <c r="C28" s="21"/>
      <c r="D28" s="21"/>
      <c r="E28" s="21"/>
    </row>
    <row r="29" spans="1:22" x14ac:dyDescent="0.3">
      <c r="B29" s="21"/>
      <c r="C29" s="21"/>
      <c r="D29" s="21"/>
      <c r="E29" s="21"/>
    </row>
    <row r="30" spans="1:22" x14ac:dyDescent="0.3">
      <c r="B30" s="21"/>
      <c r="C30" s="21"/>
      <c r="D30" s="21"/>
      <c r="E30" s="21"/>
    </row>
    <row r="31" spans="1:22" x14ac:dyDescent="0.3">
      <c r="B31" s="21"/>
      <c r="C31" s="21"/>
      <c r="D31" s="21"/>
      <c r="E31" s="21"/>
    </row>
    <row r="32" spans="1:22" x14ac:dyDescent="0.3">
      <c r="B32" s="21"/>
      <c r="C32" s="21"/>
      <c r="D32" s="21"/>
      <c r="E32" s="21"/>
    </row>
    <row r="33" spans="2:5" x14ac:dyDescent="0.3">
      <c r="B33" s="21"/>
      <c r="C33" s="21"/>
      <c r="D33" s="21"/>
      <c r="E33" s="21"/>
    </row>
    <row r="34" spans="2:5" x14ac:dyDescent="0.3">
      <c r="B34" s="21"/>
      <c r="C34" s="21"/>
      <c r="D34" s="21"/>
      <c r="E34" s="21"/>
    </row>
    <row r="35" spans="2:5" x14ac:dyDescent="0.3">
      <c r="B35" s="21"/>
      <c r="C35" s="21"/>
      <c r="D35" s="21"/>
      <c r="E35" s="21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96476-D56D-4396-A051-A4465BCE58E1}">
  <dimension ref="A2:Y28"/>
  <sheetViews>
    <sheetView workbookViewId="0">
      <selection activeCell="H1" sqref="H1"/>
    </sheetView>
  </sheetViews>
  <sheetFormatPr defaultRowHeight="14.4" x14ac:dyDescent="0.3"/>
  <cols>
    <col min="1" max="1" width="5" customWidth="1"/>
    <col min="6" max="6" width="4.44140625" customWidth="1"/>
    <col min="20" max="23" width="10.33203125" customWidth="1"/>
    <col min="24" max="24" width="11.44140625" customWidth="1"/>
    <col min="25" max="25" width="11.33203125" customWidth="1"/>
  </cols>
  <sheetData>
    <row r="2" spans="1:25" x14ac:dyDescent="0.3">
      <c r="B2" t="s">
        <v>316</v>
      </c>
      <c r="I2" t="s">
        <v>340</v>
      </c>
      <c r="N2" t="s">
        <v>339</v>
      </c>
      <c r="S2" s="8" t="s">
        <v>338</v>
      </c>
    </row>
    <row r="3" spans="1:25" x14ac:dyDescent="0.3">
      <c r="B3" s="8" t="s">
        <v>178</v>
      </c>
      <c r="C3" s="8" t="s">
        <v>177</v>
      </c>
      <c r="D3" s="8" t="s">
        <v>176</v>
      </c>
      <c r="E3" s="8" t="s">
        <v>301</v>
      </c>
      <c r="G3" s="8" t="s">
        <v>337</v>
      </c>
      <c r="I3" s="15">
        <v>1</v>
      </c>
      <c r="J3" s="14">
        <v>2</v>
      </c>
      <c r="K3" s="14">
        <v>3</v>
      </c>
      <c r="L3" s="13">
        <v>4</v>
      </c>
      <c r="N3" s="19">
        <v>1</v>
      </c>
      <c r="O3" s="18">
        <v>2</v>
      </c>
      <c r="P3" s="18">
        <v>3</v>
      </c>
      <c r="Q3" s="17">
        <v>4</v>
      </c>
      <c r="R3" t="s">
        <v>336</v>
      </c>
      <c r="T3" s="19">
        <v>1</v>
      </c>
      <c r="U3" s="18">
        <v>2</v>
      </c>
      <c r="V3" s="18">
        <v>3</v>
      </c>
      <c r="W3" s="17">
        <v>4</v>
      </c>
      <c r="X3" t="s">
        <v>335</v>
      </c>
      <c r="Y3" s="8" t="s">
        <v>302</v>
      </c>
    </row>
    <row r="4" spans="1:25" x14ac:dyDescent="0.3">
      <c r="A4">
        <v>1</v>
      </c>
      <c r="B4" s="142">
        <v>0.89757039765545399</v>
      </c>
      <c r="C4" s="141">
        <v>-0.87065333229839537</v>
      </c>
      <c r="D4" s="141">
        <v>-1.0420640267744758</v>
      </c>
      <c r="E4" s="140">
        <v>1.2943578789656962</v>
      </c>
      <c r="G4" s="186" cm="1">
        <f t="array" aca="1" ref="G4:G18" ca="1">[2]!ClustAnal(B4:E18,4,50,2,,200)</f>
        <v>2</v>
      </c>
      <c r="I4" s="15">
        <f ca="1">AVERAGEIF($G$4:$G$18,I$3,$B$4:$B$18)</f>
        <v>-0.60993200767320521</v>
      </c>
      <c r="J4" s="14">
        <f ca="1">AVERAGEIF($G$4:$G$18,J$3,$B$4:$B$18)</f>
        <v>0.89757039765545399</v>
      </c>
      <c r="K4" s="14">
        <f ca="1">AVERAGEIF($G$4:$G$18,K$3,$B$4:$B$18)</f>
        <v>4.8517318792186126E-2</v>
      </c>
      <c r="L4" s="13">
        <f ca="1">AVERAGEIF($G$4:$G$18,L$3,$B$4:$B$18)</f>
        <v>0.77627710067498723</v>
      </c>
      <c r="N4" s="217">
        <f ca="1">SUMXMY2($B4:$E4,I$4:I$7)</f>
        <v>8.5270994747379216</v>
      </c>
      <c r="O4" s="216">
        <f t="shared" ref="O4:O18" ca="1" si="0">SUMXMY2($B4:$E4,J$4:J$7)</f>
        <v>0.15285166926981644</v>
      </c>
      <c r="P4" s="216">
        <f t="shared" ref="P4:P18" ca="1" si="1">SUMXMY2($B4:$E4,K$4:K$7)</f>
        <v>5.1728831769727117</v>
      </c>
      <c r="Q4" s="215">
        <f t="shared" ref="Q4:Q18" ca="1" si="2">SUMXMY2($B4:$E4,L$4:L$7)</f>
        <v>7.253766455575887</v>
      </c>
      <c r="R4" s="21">
        <f t="shared" ref="R4:R18" ca="1" si="3">MIN(N4:Q4)</f>
        <v>0.15285166926981644</v>
      </c>
      <c r="T4" s="217" cm="1">
        <f t="array" aca="1" ref="T4" ca="1">SUM(ABS((TRANSPOSE($B4:$E4)-I$4:I$7)^2))</f>
        <v>8.5270994747379216</v>
      </c>
      <c r="U4" s="216" cm="1">
        <f t="array" aca="1" ref="U4" ca="1">SUM(ABS((TRANSPOSE($B4:$E4)-J$4:J$7)^2))</f>
        <v>0.15285166926981644</v>
      </c>
      <c r="V4" s="216" cm="1">
        <f t="array" aca="1" ref="V4" ca="1">SUM(ABS((TRANSPOSE($B4:$E4)-K$4:K$7)^2))</f>
        <v>5.1728831769727117</v>
      </c>
      <c r="W4" s="215" cm="1">
        <f t="array" aca="1" ref="W4" ca="1">SUM(ABS((TRANSPOSE($B4:$E4)-L$4:L$7)^2))</f>
        <v>7.253766455575887</v>
      </c>
      <c r="X4" s="21">
        <f t="shared" ref="X4:X18" ca="1" si="4">MIN(T4:W4)</f>
        <v>0.15285166926981644</v>
      </c>
      <c r="Y4" s="226">
        <f t="shared" ref="Y4:Y18" ca="1" si="5">MATCH(X4,T4:W4,0)</f>
        <v>2</v>
      </c>
    </row>
    <row r="5" spans="1:25" x14ac:dyDescent="0.3">
      <c r="A5">
        <v>2</v>
      </c>
      <c r="B5" s="265">
        <v>-0.55794916611014811</v>
      </c>
      <c r="C5" s="27">
        <v>0.43532666614919796</v>
      </c>
      <c r="D5" s="27">
        <v>0.37893237337253649</v>
      </c>
      <c r="E5" s="264">
        <v>-0.4187628431947848</v>
      </c>
      <c r="G5" s="182">
        <f ca="1"/>
        <v>1</v>
      </c>
      <c r="I5" s="10">
        <f ca="1">AVERAGEIF($G$4:$G$18,I$3,$C$4:$C$18)</f>
        <v>0.85510595136449574</v>
      </c>
      <c r="J5">
        <f ca="1">AVERAGEIF($G$4:$G$18,J$3,$C$4:$C$18)</f>
        <v>-0.70740583249244615</v>
      </c>
      <c r="K5">
        <f ca="1">AVERAGEIF($G$4:$G$18,K$3,$C$4:$C$18)</f>
        <v>-0.97948499883569484</v>
      </c>
      <c r="L5" s="9">
        <f ca="1">AVERAGEIF($G$4:$G$18,L$3,$C$4:$C$18)</f>
        <v>-0.54415833268649705</v>
      </c>
      <c r="N5" s="213">
        <f t="shared" ref="N5:N18" ca="1" si="6">SUMXMY2($B5:$E5,I$4:I$7)</f>
        <v>0.72826076555301011</v>
      </c>
      <c r="O5" s="21">
        <f t="shared" ca="1" si="0"/>
        <v>7.4949746803441384</v>
      </c>
      <c r="P5" s="21">
        <f t="shared" ca="1" si="1"/>
        <v>5.2628186168164355</v>
      </c>
      <c r="Q5" s="212">
        <f t="shared" ca="1" si="2"/>
        <v>2.9405678737451884</v>
      </c>
      <c r="R5" s="21">
        <f t="shared" ca="1" si="3"/>
        <v>0.72826076555301011</v>
      </c>
      <c r="T5" s="213" cm="1">
        <f t="array" aca="1" ref="T5" ca="1">SUM(ABS((TRANSPOSE($B5:$E5)-I$4:I$7)^2))</f>
        <v>0.72826076555301011</v>
      </c>
      <c r="U5" s="21" cm="1">
        <f t="array" aca="1" ref="U5" ca="1">SUM(ABS((TRANSPOSE($B5:$E5)-J$4:J$7)^2))</f>
        <v>7.4949746803441384</v>
      </c>
      <c r="V5" s="21" cm="1">
        <f t="array" aca="1" ref="V5" ca="1">SUM(ABS((TRANSPOSE($B5:$E5)-K$4:K$7)^2))</f>
        <v>5.2628186168164355</v>
      </c>
      <c r="W5" s="212" cm="1">
        <f t="array" aca="1" ref="W5" ca="1">SUM(ABS((TRANSPOSE($B5:$E5)-L$4:L$7)^2))</f>
        <v>2.9405678737451884</v>
      </c>
      <c r="X5" s="21">
        <f t="shared" ca="1" si="4"/>
        <v>0.72826076555301011</v>
      </c>
      <c r="Y5" s="226">
        <f t="shared" ca="1" si="5"/>
        <v>1</v>
      </c>
    </row>
    <row r="6" spans="1:25" x14ac:dyDescent="0.3">
      <c r="A6">
        <v>3</v>
      </c>
      <c r="B6" s="265">
        <v>-0.19406927516874753</v>
      </c>
      <c r="C6" s="27">
        <v>-0.54415833268649705</v>
      </c>
      <c r="D6" s="27">
        <v>-0.68681492673772271</v>
      </c>
      <c r="E6" s="264">
        <v>-1.5608433246351054</v>
      </c>
      <c r="G6" s="182">
        <f ca="1"/>
        <v>3</v>
      </c>
      <c r="I6" s="10">
        <f ca="1">AVERAGEIF($G$4:$G$18,I$3,$D$4:$D$18)</f>
        <v>0.48043211624018028</v>
      </c>
      <c r="J6">
        <f ca="1">AVERAGEIF($G$4:$G$18,J$3,$D$4:$D$18)</f>
        <v>-0.68681492673772271</v>
      </c>
      <c r="K6">
        <f ca="1">AVERAGEIF($G$4:$G$18,K$3,$D$4:$D$18)</f>
        <v>-1.2788967601323111</v>
      </c>
      <c r="L6" s="9">
        <f ca="1">AVERAGEIF($G$4:$G$18,L$3,$D$4:$D$18)</f>
        <v>0.61576510673037188</v>
      </c>
      <c r="N6" s="213">
        <f t="shared" ca="1" si="6"/>
        <v>7.013756171512771</v>
      </c>
      <c r="O6" s="21">
        <f t="shared" ca="1" si="0"/>
        <v>9.3705008345200884</v>
      </c>
      <c r="P6" s="21">
        <f t="shared" ca="1" si="1"/>
        <v>1.1786286041935745</v>
      </c>
      <c r="Q6" s="212">
        <f t="shared" ca="1" si="2"/>
        <v>3.2179969776303485</v>
      </c>
      <c r="R6" s="21">
        <f t="shared" ca="1" si="3"/>
        <v>1.1786286041935745</v>
      </c>
      <c r="T6" s="213" cm="1">
        <f t="array" aca="1" ref="T6" ca="1">SUM(ABS((TRANSPOSE($B6:$E6)-I$4:I$7)^2))</f>
        <v>7.013756171512771</v>
      </c>
      <c r="U6" s="21" cm="1">
        <f t="array" aca="1" ref="U6" ca="1">SUM(ABS((TRANSPOSE($B6:$E6)-J$4:J$7)^2))</f>
        <v>9.3705008345200884</v>
      </c>
      <c r="V6" s="21" cm="1">
        <f t="array" aca="1" ref="V6" ca="1">SUM(ABS((TRANSPOSE($B6:$E6)-K$4:K$7)^2))</f>
        <v>1.1786286041935745</v>
      </c>
      <c r="W6" s="212" cm="1">
        <f t="array" aca="1" ref="W6" ca="1">SUM(ABS((TRANSPOSE($B6:$E6)-L$4:L$7)^2))</f>
        <v>3.2179969776303485</v>
      </c>
      <c r="X6" s="21">
        <f t="shared" ca="1" si="4"/>
        <v>1.1786286041935745</v>
      </c>
      <c r="Y6" s="226">
        <f t="shared" ca="1" si="5"/>
        <v>3</v>
      </c>
    </row>
    <row r="7" spans="1:25" x14ac:dyDescent="0.3">
      <c r="A7">
        <v>4</v>
      </c>
      <c r="B7" s="265">
        <v>0.16981061577265297</v>
      </c>
      <c r="C7" s="27">
        <v>-0.21766333307459867</v>
      </c>
      <c r="D7" s="27">
        <v>-0.33156582670096962</v>
      </c>
      <c r="E7" s="264">
        <v>-0.4187628431947848</v>
      </c>
      <c r="F7" s="2"/>
      <c r="G7" s="182">
        <f ca="1"/>
        <v>4</v>
      </c>
      <c r="I7" s="7">
        <f ca="1">AVERAGEIF($G$4:$G$18,I$3,$E$4:$E$18)</f>
        <v>0.31543175201684992</v>
      </c>
      <c r="J7" s="6">
        <f ca="1">AVERAGEIF($G$4:$G$18,J$3,$E$4:$E$18)</f>
        <v>1.2943578789656962</v>
      </c>
      <c r="K7" s="6">
        <f ca="1">AVERAGEIF($G$4:$G$18,K$3,$E$4:$E$18)</f>
        <v>-0.79945633700822505</v>
      </c>
      <c r="L7" s="5">
        <f ca="1">AVERAGEIF($G$4:$G$18,L$3,$E$4:$E$18)</f>
        <v>-0.79945633700822505</v>
      </c>
      <c r="N7" s="213">
        <f t="shared" ca="1" si="6"/>
        <v>2.9572148594328307</v>
      </c>
      <c r="O7" s="21">
        <f t="shared" ca="1" si="0"/>
        <v>3.8304665476347135</v>
      </c>
      <c r="P7" s="21">
        <f t="shared" ca="1" si="1"/>
        <v>1.6374477479831837</v>
      </c>
      <c r="Q7" s="212">
        <f t="shared" ca="1" si="2"/>
        <v>1.5167640157491475</v>
      </c>
      <c r="R7" s="21">
        <f t="shared" ca="1" si="3"/>
        <v>1.5167640157491475</v>
      </c>
      <c r="T7" s="213" cm="1">
        <f t="array" aca="1" ref="T7" ca="1">SUM(ABS((TRANSPOSE($B7:$E7)-I$4:I$7)^2))</f>
        <v>2.9572148594328307</v>
      </c>
      <c r="U7" s="21" cm="1">
        <f t="array" aca="1" ref="U7" ca="1">SUM(ABS((TRANSPOSE($B7:$E7)-J$4:J$7)^2))</f>
        <v>3.8304665476347135</v>
      </c>
      <c r="V7" s="21" cm="1">
        <f t="array" aca="1" ref="V7" ca="1">SUM(ABS((TRANSPOSE($B7:$E7)-K$4:K$7)^2))</f>
        <v>1.6374477479831837</v>
      </c>
      <c r="W7" s="212" cm="1">
        <f t="array" aca="1" ref="W7" ca="1">SUM(ABS((TRANSPOSE($B7:$E7)-L$4:L$7)^2))</f>
        <v>1.5167640157491475</v>
      </c>
      <c r="X7" s="21">
        <f t="shared" ca="1" si="4"/>
        <v>1.5167640157491475</v>
      </c>
      <c r="Y7" s="226">
        <f t="shared" ca="1" si="5"/>
        <v>4</v>
      </c>
    </row>
    <row r="8" spans="1:25" x14ac:dyDescent="0.3">
      <c r="A8">
        <v>5</v>
      </c>
      <c r="B8" s="265">
        <v>0.89757039765545399</v>
      </c>
      <c r="C8" s="27">
        <v>-0.87065333229839537</v>
      </c>
      <c r="D8" s="27">
        <v>1.4446796734827958</v>
      </c>
      <c r="E8" s="264">
        <v>-0.4187628431947848</v>
      </c>
      <c r="G8" s="182">
        <f ca="1"/>
        <v>4</v>
      </c>
      <c r="I8" t="str">
        <f ca="1">_xlfn.FORMULATEXT(I4)</f>
        <v>=AVERAGEIF($G$4:$G$18,I$3,$B$4:$B$18)</v>
      </c>
      <c r="N8" s="213">
        <f t="shared" ca="1" si="6"/>
        <v>6.7196236625066756</v>
      </c>
      <c r="O8" s="21">
        <f t="shared" ca="1" si="0"/>
        <v>7.5047015856577692</v>
      </c>
      <c r="P8" s="21">
        <f t="shared" ca="1" si="1"/>
        <v>8.29553158834395</v>
      </c>
      <c r="Q8" s="212">
        <f t="shared" ca="1" si="2"/>
        <v>0.95333794387020765</v>
      </c>
      <c r="R8" s="21">
        <f t="shared" ca="1" si="3"/>
        <v>0.95333794387020765</v>
      </c>
      <c r="T8" s="213" cm="1">
        <f t="array" aca="1" ref="T8" ca="1">SUM(ABS((TRANSPOSE($B8:$E8)-I$4:I$7)^2))</f>
        <v>6.7196236625066756</v>
      </c>
      <c r="U8" s="21" cm="1">
        <f t="array" aca="1" ref="U8" ca="1">SUM(ABS((TRANSPOSE($B8:$E8)-J$4:J$7)^2))</f>
        <v>7.5047015856577692</v>
      </c>
      <c r="V8" s="21" cm="1">
        <f t="array" aca="1" ref="V8" ca="1">SUM(ABS((TRANSPOSE($B8:$E8)-K$4:K$7)^2))</f>
        <v>8.29553158834395</v>
      </c>
      <c r="W8" s="212" cm="1">
        <f t="array" aca="1" ref="W8" ca="1">SUM(ABS((TRANSPOSE($B8:$E8)-L$4:L$7)^2))</f>
        <v>0.95333794387020765</v>
      </c>
      <c r="X8" s="21">
        <f t="shared" ca="1" si="4"/>
        <v>0.95333794387020765</v>
      </c>
      <c r="Y8" s="226">
        <f t="shared" ca="1" si="5"/>
        <v>4</v>
      </c>
    </row>
    <row r="9" spans="1:25" x14ac:dyDescent="0.3">
      <c r="A9">
        <v>6</v>
      </c>
      <c r="B9" s="265">
        <v>0.89757039765545399</v>
      </c>
      <c r="C9" s="27">
        <v>-0.54415833268649705</v>
      </c>
      <c r="D9" s="27">
        <v>-0.33156582670096962</v>
      </c>
      <c r="E9" s="264">
        <v>1.2943578789656962</v>
      </c>
      <c r="G9" s="182">
        <f ca="1"/>
        <v>2</v>
      </c>
      <c r="N9" s="213">
        <f t="shared" ca="1" si="6"/>
        <v>5.8481410600561574</v>
      </c>
      <c r="O9" s="21">
        <f t="shared" ca="1" si="0"/>
        <v>0.15285166926981633</v>
      </c>
      <c r="P9" s="21">
        <f t="shared" ca="1" si="1"/>
        <v>6.1918943054381543</v>
      </c>
      <c r="Q9" s="212">
        <f t="shared" ca="1" si="2"/>
        <v>5.2962059323427759</v>
      </c>
      <c r="R9" s="21">
        <f t="shared" ca="1" si="3"/>
        <v>0.15285166926981633</v>
      </c>
      <c r="T9" s="213" cm="1">
        <f t="array" aca="1" ref="T9" ca="1">SUM(ABS((TRANSPOSE($B9:$E9)-I$4:I$7)^2))</f>
        <v>5.8481410600561574</v>
      </c>
      <c r="U9" s="21" cm="1">
        <f t="array" aca="1" ref="U9" ca="1">SUM(ABS((TRANSPOSE($B9:$E9)-J$4:J$7)^2))</f>
        <v>0.15285166926981633</v>
      </c>
      <c r="V9" s="21" cm="1">
        <f t="array" aca="1" ref="V9" ca="1">SUM(ABS((TRANSPOSE($B9:$E9)-K$4:K$7)^2))</f>
        <v>6.1918943054381543</v>
      </c>
      <c r="W9" s="212" cm="1">
        <f t="array" aca="1" ref="W9" ca="1">SUM(ABS((TRANSPOSE($B9:$E9)-L$4:L$7)^2))</f>
        <v>5.2962059323427759</v>
      </c>
      <c r="X9" s="21">
        <f t="shared" ca="1" si="4"/>
        <v>0.15285166926981633</v>
      </c>
      <c r="Y9" s="226">
        <f t="shared" ca="1" si="5"/>
        <v>2</v>
      </c>
    </row>
    <row r="10" spans="1:25" x14ac:dyDescent="0.3">
      <c r="A10">
        <v>7</v>
      </c>
      <c r="B10" s="265">
        <v>-0.55794916611014811</v>
      </c>
      <c r="C10" s="27">
        <v>-0.54415833268649705</v>
      </c>
      <c r="D10" s="27">
        <v>1.0894305734460425</v>
      </c>
      <c r="E10" s="264">
        <v>0.72331763824553585</v>
      </c>
      <c r="G10" s="182">
        <f ca="1"/>
        <v>1</v>
      </c>
      <c r="N10" s="213">
        <f t="shared" ca="1" si="6"/>
        <v>2.4978927695013882</v>
      </c>
      <c r="O10" s="21">
        <f t="shared" ca="1" si="0"/>
        <v>5.6263219801421149</v>
      </c>
      <c r="P10" s="21">
        <f t="shared" ca="1" si="1"/>
        <v>8.4851258422548632</v>
      </c>
      <c r="Q10" s="212">
        <f t="shared" ca="1" si="2"/>
        <v>4.3233592850485145</v>
      </c>
      <c r="R10" s="21">
        <f t="shared" ca="1" si="3"/>
        <v>2.4978927695013882</v>
      </c>
      <c r="T10" s="213" cm="1">
        <f t="array" aca="1" ref="T10" ca="1">SUM(ABS((TRANSPOSE($B10:$E10)-I$4:I$7)^2))</f>
        <v>2.4978927695013882</v>
      </c>
      <c r="U10" s="21" cm="1">
        <f t="array" aca="1" ref="U10" ca="1">SUM(ABS((TRANSPOSE($B10:$E10)-J$4:J$7)^2))</f>
        <v>5.6263219801421149</v>
      </c>
      <c r="V10" s="21" cm="1">
        <f t="array" aca="1" ref="V10" ca="1">SUM(ABS((TRANSPOSE($B10:$E10)-K$4:K$7)^2))</f>
        <v>8.4851258422548632</v>
      </c>
      <c r="W10" s="212" cm="1">
        <f t="array" aca="1" ref="W10" ca="1">SUM(ABS((TRANSPOSE($B10:$E10)-L$4:L$7)^2))</f>
        <v>4.3233592850485145</v>
      </c>
      <c r="X10" s="21">
        <f t="shared" ca="1" si="4"/>
        <v>2.4978927695013882</v>
      </c>
      <c r="Y10" s="226">
        <f t="shared" ca="1" si="5"/>
        <v>1</v>
      </c>
    </row>
    <row r="11" spans="1:25" x14ac:dyDescent="0.3">
      <c r="A11">
        <v>8</v>
      </c>
      <c r="B11" s="265">
        <v>0.53369050671405349</v>
      </c>
      <c r="C11" s="27">
        <v>1.0883166653729945</v>
      </c>
      <c r="D11" s="27">
        <v>0.37893237337253649</v>
      </c>
      <c r="E11" s="264">
        <v>-0.4187628431947848</v>
      </c>
      <c r="G11" s="182">
        <f ca="1"/>
        <v>1</v>
      </c>
      <c r="N11" s="213">
        <f t="shared" ca="1" si="6"/>
        <v>1.9116035939819636</v>
      </c>
      <c r="O11" s="21">
        <f t="shared" ca="1" si="0"/>
        <v>7.4276277807595781</v>
      </c>
      <c r="P11" s="21">
        <f t="shared" ca="1" si="1"/>
        <v>7.4045217169118098</v>
      </c>
      <c r="Q11" s="212">
        <f t="shared" ca="1" si="2"/>
        <v>2.924840154680532</v>
      </c>
      <c r="R11" s="21">
        <f t="shared" ca="1" si="3"/>
        <v>1.9116035939819636</v>
      </c>
      <c r="T11" s="213" cm="1">
        <f t="array" aca="1" ref="T11" ca="1">SUM(ABS((TRANSPOSE($B11:$E11)-I$4:I$7)^2))</f>
        <v>1.9116035939819636</v>
      </c>
      <c r="U11" s="21" cm="1">
        <f t="array" aca="1" ref="U11" ca="1">SUM(ABS((TRANSPOSE($B11:$E11)-J$4:J$7)^2))</f>
        <v>7.4276277807595781</v>
      </c>
      <c r="V11" s="21" cm="1">
        <f t="array" aca="1" ref="V11" ca="1">SUM(ABS((TRANSPOSE($B11:$E11)-K$4:K$7)^2))</f>
        <v>7.4045217169118098</v>
      </c>
      <c r="W11" s="212" cm="1">
        <f t="array" aca="1" ref="W11" ca="1">SUM(ABS((TRANSPOSE($B11:$E11)-L$4:L$7)^2))</f>
        <v>2.924840154680532</v>
      </c>
      <c r="X11" s="21">
        <f t="shared" ca="1" si="4"/>
        <v>1.9116035939819636</v>
      </c>
      <c r="Y11" s="226">
        <f t="shared" ca="1" si="5"/>
        <v>1</v>
      </c>
    </row>
    <row r="12" spans="1:25" x14ac:dyDescent="0.3">
      <c r="A12">
        <v>9</v>
      </c>
      <c r="B12" s="265">
        <v>-0.55794916611014811</v>
      </c>
      <c r="C12" s="27">
        <v>0.76182166576109622</v>
      </c>
      <c r="D12" s="27">
        <v>0.73418147340928963</v>
      </c>
      <c r="E12" s="264">
        <v>0.15227739752537556</v>
      </c>
      <c r="G12" s="182">
        <f ca="1"/>
        <v>1</v>
      </c>
      <c r="N12" s="213">
        <f t="shared" ca="1" si="6"/>
        <v>0.10241225341077241</v>
      </c>
      <c r="O12" s="21">
        <f t="shared" ca="1" si="0"/>
        <v>7.6007452374464943</v>
      </c>
      <c r="P12" s="21">
        <f t="shared" ca="1" si="1"/>
        <v>8.3582315732872399</v>
      </c>
      <c r="Q12" s="212">
        <f t="shared" ca="1" si="2"/>
        <v>4.4055630246712845</v>
      </c>
      <c r="R12" s="21">
        <f t="shared" ca="1" si="3"/>
        <v>0.10241225341077241</v>
      </c>
      <c r="T12" s="213" cm="1">
        <f t="array" aca="1" ref="T12" ca="1">SUM(ABS((TRANSPOSE($B12:$E12)-I$4:I$7)^2))</f>
        <v>0.10241225341077241</v>
      </c>
      <c r="U12" s="21" cm="1">
        <f t="array" aca="1" ref="U12" ca="1">SUM(ABS((TRANSPOSE($B12:$E12)-J$4:J$7)^2))</f>
        <v>7.6007452374464943</v>
      </c>
      <c r="V12" s="21" cm="1">
        <f t="array" aca="1" ref="V12" ca="1">SUM(ABS((TRANSPOSE($B12:$E12)-K$4:K$7)^2))</f>
        <v>8.3582315732872399</v>
      </c>
      <c r="W12" s="212" cm="1">
        <f t="array" aca="1" ref="W12" ca="1">SUM(ABS((TRANSPOSE($B12:$E12)-L$4:L$7)^2))</f>
        <v>4.4055630246712845</v>
      </c>
      <c r="X12" s="21">
        <f t="shared" ca="1" si="4"/>
        <v>0.10241225341077241</v>
      </c>
      <c r="Y12" s="226">
        <f t="shared" ca="1" si="5"/>
        <v>1</v>
      </c>
    </row>
    <row r="13" spans="1:25" x14ac:dyDescent="0.3">
      <c r="A13">
        <v>10</v>
      </c>
      <c r="B13" s="265">
        <v>-1.2857089479929491</v>
      </c>
      <c r="C13" s="27">
        <v>1.0883166653729945</v>
      </c>
      <c r="D13" s="27">
        <v>-0.68681492673772271</v>
      </c>
      <c r="E13" s="264">
        <v>0.72331763824553585</v>
      </c>
      <c r="G13" s="182">
        <f ca="1"/>
        <v>1</v>
      </c>
      <c r="N13" s="213">
        <f t="shared" ca="1" si="6"/>
        <v>2.0398982657214875</v>
      </c>
      <c r="O13" s="21">
        <f t="shared" ca="1" si="0"/>
        <v>8.3174149469967542</v>
      </c>
      <c r="P13" s="21">
        <f t="shared" ca="1" si="1"/>
        <v>8.7253649306296612</v>
      </c>
      <c r="Q13" s="212">
        <f t="shared" ca="1" si="2"/>
        <v>10.932316407490431</v>
      </c>
      <c r="R13" s="21">
        <f t="shared" ca="1" si="3"/>
        <v>2.0398982657214875</v>
      </c>
      <c r="T13" s="213" cm="1">
        <f t="array" aca="1" ref="T13" ca="1">SUM(ABS((TRANSPOSE($B13:$E13)-I$4:I$7)^2))</f>
        <v>2.0398982657214875</v>
      </c>
      <c r="U13" s="21" cm="1">
        <f t="array" aca="1" ref="U13" ca="1">SUM(ABS((TRANSPOSE($B13:$E13)-J$4:J$7)^2))</f>
        <v>8.3174149469967542</v>
      </c>
      <c r="V13" s="21" cm="1">
        <f t="array" aca="1" ref="V13" ca="1">SUM(ABS((TRANSPOSE($B13:$E13)-K$4:K$7)^2))</f>
        <v>8.7253649306296612</v>
      </c>
      <c r="W13" s="212" cm="1">
        <f t="array" aca="1" ref="W13" ca="1">SUM(ABS((TRANSPOSE($B13:$E13)-L$4:L$7)^2))</f>
        <v>10.932316407490431</v>
      </c>
      <c r="X13" s="21">
        <f t="shared" ca="1" si="4"/>
        <v>2.0398982657214875</v>
      </c>
      <c r="Y13" s="226">
        <f t="shared" ca="1" si="5"/>
        <v>1</v>
      </c>
    </row>
    <row r="14" spans="1:25" x14ac:dyDescent="0.3">
      <c r="A14">
        <v>11</v>
      </c>
      <c r="B14" s="265">
        <v>-0.55794916611014811</v>
      </c>
      <c r="C14" s="27">
        <v>-1.523643331522192</v>
      </c>
      <c r="D14" s="27">
        <v>-1.7525622268479819</v>
      </c>
      <c r="E14" s="264">
        <v>-0.4187628431947848</v>
      </c>
      <c r="G14" s="182">
        <f ca="1"/>
        <v>3</v>
      </c>
      <c r="N14" s="213">
        <f t="shared" ca="1" si="6"/>
        <v>11.18645580655261</v>
      </c>
      <c r="O14" s="21">
        <f t="shared" ca="1" si="0"/>
        <v>6.8553807717146977</v>
      </c>
      <c r="P14" s="21">
        <f t="shared" ca="1" si="1"/>
        <v>1.0331963989327997</v>
      </c>
      <c r="Q14" s="212">
        <f t="shared" ca="1" si="2"/>
        <v>8.4934524891297993</v>
      </c>
      <c r="R14" s="21">
        <f t="shared" ca="1" si="3"/>
        <v>1.0331963989327997</v>
      </c>
      <c r="T14" s="213" cm="1">
        <f t="array" aca="1" ref="T14" ca="1">SUM(ABS((TRANSPOSE($B14:$E14)-I$4:I$7)^2))</f>
        <v>11.18645580655261</v>
      </c>
      <c r="U14" s="21" cm="1">
        <f t="array" aca="1" ref="U14" ca="1">SUM(ABS((TRANSPOSE($B14:$E14)-J$4:J$7)^2))</f>
        <v>6.8553807717146977</v>
      </c>
      <c r="V14" s="21" cm="1">
        <f t="array" aca="1" ref="V14" ca="1">SUM(ABS((TRANSPOSE($B14:$E14)-K$4:K$7)^2))</f>
        <v>1.0331963989327997</v>
      </c>
      <c r="W14" s="212" cm="1">
        <f t="array" aca="1" ref="W14" ca="1">SUM(ABS((TRANSPOSE($B14:$E14)-L$4:L$7)^2))</f>
        <v>8.4934524891297993</v>
      </c>
      <c r="X14" s="21">
        <f t="shared" ca="1" si="4"/>
        <v>1.0331963989327997</v>
      </c>
      <c r="Y14" s="226">
        <f t="shared" ca="1" si="5"/>
        <v>3</v>
      </c>
    </row>
    <row r="15" spans="1:25" x14ac:dyDescent="0.3">
      <c r="A15">
        <v>12</v>
      </c>
      <c r="B15" s="265">
        <v>0.89757039765545399</v>
      </c>
      <c r="C15" s="27">
        <v>-0.87065333229839537</v>
      </c>
      <c r="D15" s="27">
        <v>-1.3973131268112289</v>
      </c>
      <c r="E15" s="264">
        <v>-0.4187628431947848</v>
      </c>
      <c r="G15" s="182">
        <f ca="1"/>
        <v>3</v>
      </c>
      <c r="N15" s="213">
        <f t="shared" ca="1" si="6"/>
        <v>9.3157775086605188</v>
      </c>
      <c r="O15" s="21">
        <f t="shared" ca="1" si="0"/>
        <v>3.4662400471962331</v>
      </c>
      <c r="P15" s="21">
        <f t="shared" ca="1" si="1"/>
        <v>0.89168543449780024</v>
      </c>
      <c r="Q15" s="212">
        <f t="shared" ca="1" si="2"/>
        <v>4.3187225592548204</v>
      </c>
      <c r="R15" s="21">
        <f t="shared" ca="1" si="3"/>
        <v>0.89168543449780024</v>
      </c>
      <c r="T15" s="213" cm="1">
        <f t="array" aca="1" ref="T15" ca="1">SUM(ABS((TRANSPOSE($B15:$E15)-I$4:I$7)^2))</f>
        <v>9.3157775086605188</v>
      </c>
      <c r="U15" s="21" cm="1">
        <f t="array" aca="1" ref="U15" ca="1">SUM(ABS((TRANSPOSE($B15:$E15)-J$4:J$7)^2))</f>
        <v>3.4662400471962331</v>
      </c>
      <c r="V15" s="21" cm="1">
        <f t="array" aca="1" ref="V15" ca="1">SUM(ABS((TRANSPOSE($B15:$E15)-K$4:K$7)^2))</f>
        <v>0.89168543449780024</v>
      </c>
      <c r="W15" s="212" cm="1">
        <f t="array" aca="1" ref="W15" ca="1">SUM(ABS((TRANSPOSE($B15:$E15)-L$4:L$7)^2))</f>
        <v>4.3187225592548204</v>
      </c>
      <c r="X15" s="21">
        <f t="shared" ca="1" si="4"/>
        <v>0.89168543449780024</v>
      </c>
      <c r="Y15" s="226">
        <f t="shared" ca="1" si="5"/>
        <v>3</v>
      </c>
    </row>
    <row r="16" spans="1:25" x14ac:dyDescent="0.3">
      <c r="A16">
        <v>13</v>
      </c>
      <c r="B16" s="265">
        <v>-2.3773486208171506</v>
      </c>
      <c r="C16" s="27">
        <v>1.414811664984893</v>
      </c>
      <c r="D16" s="27">
        <v>2.3683273335783454E-2</v>
      </c>
      <c r="E16" s="264">
        <v>-0.4187628431947848</v>
      </c>
      <c r="G16" s="182">
        <f ca="1"/>
        <v>1</v>
      </c>
      <c r="N16" s="213">
        <f t="shared" ca="1" si="6"/>
        <v>4.1846931794090141</v>
      </c>
      <c r="O16" s="21">
        <f t="shared" ca="1" si="0"/>
        <v>18.668491985155885</v>
      </c>
      <c r="P16" s="21">
        <f t="shared" ca="1" si="1"/>
        <v>13.459124351160714</v>
      </c>
      <c r="Q16" s="212">
        <f t="shared" ca="1" si="2"/>
        <v>14.278407076701235</v>
      </c>
      <c r="R16" s="21">
        <f t="shared" ca="1" si="3"/>
        <v>4.1846931794090141</v>
      </c>
      <c r="T16" s="213" cm="1">
        <f t="array" aca="1" ref="T16" ca="1">SUM(ABS((TRANSPOSE($B16:$E16)-I$4:I$7)^2))</f>
        <v>4.1846931794090141</v>
      </c>
      <c r="U16" s="21" cm="1">
        <f t="array" aca="1" ref="U16" ca="1">SUM(ABS((TRANSPOSE($B16:$E16)-J$4:J$7)^2))</f>
        <v>18.668491985155885</v>
      </c>
      <c r="V16" s="21" cm="1">
        <f t="array" aca="1" ref="V16" ca="1">SUM(ABS((TRANSPOSE($B16:$E16)-K$4:K$7)^2))</f>
        <v>13.459124351160714</v>
      </c>
      <c r="W16" s="212" cm="1">
        <f t="array" aca="1" ref="W16" ca="1">SUM(ABS((TRANSPOSE($B16:$E16)-L$4:L$7)^2))</f>
        <v>14.278407076701235</v>
      </c>
      <c r="X16" s="21">
        <f t="shared" ca="1" si="4"/>
        <v>4.1846931794090141</v>
      </c>
      <c r="Y16" s="226">
        <f t="shared" ca="1" si="5"/>
        <v>1</v>
      </c>
    </row>
    <row r="17" spans="1:25" x14ac:dyDescent="0.3">
      <c r="A17">
        <v>14</v>
      </c>
      <c r="B17" s="265">
        <v>1.2614502885968546</v>
      </c>
      <c r="C17" s="27">
        <v>-0.54415833268649705</v>
      </c>
      <c r="D17" s="27">
        <v>0.73418147340928963</v>
      </c>
      <c r="E17" s="264">
        <v>-1.5608433246351054</v>
      </c>
      <c r="G17" s="182">
        <f ca="1"/>
        <v>4</v>
      </c>
      <c r="N17" s="213">
        <f t="shared" ca="1" si="6"/>
        <v>9.0448091349427759</v>
      </c>
      <c r="O17" s="21">
        <f t="shared" ca="1" si="0"/>
        <v>10.330463003498654</v>
      </c>
      <c r="P17" s="21">
        <f t="shared" ca="1" si="1"/>
        <v>6.2929098147862543</v>
      </c>
      <c r="Q17" s="212">
        <f t="shared" ca="1" si="2"/>
        <v>0.82912560310323891</v>
      </c>
      <c r="R17" s="21">
        <f t="shared" ca="1" si="3"/>
        <v>0.82912560310323891</v>
      </c>
      <c r="T17" s="213" cm="1">
        <f t="array" aca="1" ref="T17" ca="1">SUM(ABS((TRANSPOSE($B17:$E17)-I$4:I$7)^2))</f>
        <v>9.0448091349427759</v>
      </c>
      <c r="U17" s="21" cm="1">
        <f t="array" aca="1" ref="U17" ca="1">SUM(ABS((TRANSPOSE($B17:$E17)-J$4:J$7)^2))</f>
        <v>10.330463003498654</v>
      </c>
      <c r="V17" s="21" cm="1">
        <f t="array" aca="1" ref="V17" ca="1">SUM(ABS((TRANSPOSE($B17:$E17)-K$4:K$7)^2))</f>
        <v>6.2929098147862543</v>
      </c>
      <c r="W17" s="212" cm="1">
        <f t="array" aca="1" ref="W17" ca="1">SUM(ABS((TRANSPOSE($B17:$E17)-L$4:L$7)^2))</f>
        <v>0.82912560310323891</v>
      </c>
      <c r="X17" s="21">
        <f t="shared" ca="1" si="4"/>
        <v>0.82912560310323891</v>
      </c>
      <c r="Y17" s="226">
        <f t="shared" ca="1" si="5"/>
        <v>4</v>
      </c>
    </row>
    <row r="18" spans="1:25" x14ac:dyDescent="0.3">
      <c r="A18">
        <v>15</v>
      </c>
      <c r="B18" s="156">
        <v>0.53369050671405349</v>
      </c>
      <c r="C18" s="336">
        <v>1.7413066645967912</v>
      </c>
      <c r="D18" s="336">
        <v>1.4446796734827958</v>
      </c>
      <c r="E18" s="335">
        <v>1.8653981196858564</v>
      </c>
      <c r="G18" s="180">
        <f ca="1"/>
        <v>1</v>
      </c>
      <c r="N18" s="210">
        <f t="shared" ca="1" si="6"/>
        <v>5.4253932521002692</v>
      </c>
      <c r="O18" s="334">
        <f t="shared" ca="1" si="0"/>
        <v>10.9979576557235</v>
      </c>
      <c r="P18" s="334">
        <f t="shared" ca="1" si="1"/>
        <v>22.157418163187877</v>
      </c>
      <c r="Q18" s="208">
        <f t="shared" ca="1" si="2"/>
        <v>13.070747143713334</v>
      </c>
      <c r="R18" s="21">
        <f t="shared" ca="1" si="3"/>
        <v>5.4253932521002692</v>
      </c>
      <c r="T18" s="210" cm="1">
        <f t="array" aca="1" ref="T18" ca="1">SUM(ABS((TRANSPOSE($B18:$E18)-I$4:I$7)^2))</f>
        <v>5.4253932521002692</v>
      </c>
      <c r="U18" s="334" cm="1">
        <f t="array" aca="1" ref="U18" ca="1">SUM(ABS((TRANSPOSE($B18:$E18)-J$4:J$7)^2))</f>
        <v>10.9979576557235</v>
      </c>
      <c r="V18" s="334" cm="1">
        <f t="array" aca="1" ref="V18" ca="1">SUM(ABS((TRANSPOSE($B18:$E18)-K$4:K$7)^2))</f>
        <v>22.157418163187877</v>
      </c>
      <c r="W18" s="208" cm="1">
        <f t="array" aca="1" ref="W18" ca="1">SUM(ABS((TRANSPOSE($B18:$E18)-L$4:L$7)^2))</f>
        <v>13.070747143713334</v>
      </c>
      <c r="X18" s="21">
        <f t="shared" ca="1" si="4"/>
        <v>5.4253932521002692</v>
      </c>
      <c r="Y18" s="226">
        <f t="shared" ca="1" si="5"/>
        <v>1</v>
      </c>
    </row>
    <row r="19" spans="1:25" x14ac:dyDescent="0.3">
      <c r="N19" s="21" t="str">
        <f ca="1">_xlfn.FORMULATEXT(N4)</f>
        <v>=SUMXMY2($B4:$E4,I$4:I$7)</v>
      </c>
      <c r="R19" s="21" t="str">
        <f ca="1">_xlfn.FORMULATEXT(R4)</f>
        <v>=MIN(N4:Q4)</v>
      </c>
      <c r="T19" s="213" t="str">
        <f ca="1">_xlfn.FORMULATEXT(T4)</f>
        <v>=SUM(ABS((TRANSPOSE($B4:$E4)-I$4:I$7)^2))</v>
      </c>
      <c r="X19" s="21" t="str">
        <f ca="1">_xlfn.FORMULATEXT(X4)</f>
        <v>=MIN(T4:W4)</v>
      </c>
      <c r="Y19" s="226" t="str">
        <f ca="1">_xlfn.FORMULATEXT(Y4)</f>
        <v>=MATCH(X4,T4:W4,0)</v>
      </c>
    </row>
    <row r="20" spans="1:25" x14ac:dyDescent="0.3">
      <c r="Y20" t="s">
        <v>334</v>
      </c>
    </row>
    <row r="21" spans="1:25" x14ac:dyDescent="0.3">
      <c r="R21" s="195" t="s">
        <v>297</v>
      </c>
      <c r="X21" s="195" t="s">
        <v>297</v>
      </c>
    </row>
    <row r="22" spans="1:25" x14ac:dyDescent="0.3">
      <c r="R22" s="244">
        <f ca="1">SUM(R4:R18)</f>
        <v>23.598595418564308</v>
      </c>
      <c r="X22" s="244">
        <f ca="1">SUM(X4:X18)</f>
        <v>23.598595418564308</v>
      </c>
    </row>
    <row r="23" spans="1:25" x14ac:dyDescent="0.3">
      <c r="R23" t="str">
        <f ca="1">_xlfn.FORMULATEXT(R22)</f>
        <v>=SUM(R4:R18)</v>
      </c>
      <c r="X23" t="str">
        <f ca="1">_xlfn.FORMULATEXT(X22)</f>
        <v>=SUM(X4:X18)</v>
      </c>
    </row>
    <row r="24" spans="1:25" x14ac:dyDescent="0.3">
      <c r="G24" t="str">
        <f ca="1">_xlfn.FORMULATEXT(G4)</f>
        <v>=ClustAnal(B4:E18,4,50,2,,200)</v>
      </c>
    </row>
    <row r="25" spans="1:25" x14ac:dyDescent="0.3">
      <c r="G25" t="s">
        <v>585</v>
      </c>
    </row>
    <row r="26" spans="1:25" x14ac:dyDescent="0.3">
      <c r="G26" t="s">
        <v>586</v>
      </c>
    </row>
    <row r="27" spans="1:25" x14ac:dyDescent="0.3">
      <c r="G27" t="s">
        <v>333</v>
      </c>
    </row>
    <row r="28" spans="1:25" x14ac:dyDescent="0.3">
      <c r="G28" t="s">
        <v>587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35750-8F22-4B63-8E56-74305A72E607}">
  <dimension ref="A1:AE36"/>
  <sheetViews>
    <sheetView workbookViewId="0">
      <selection activeCell="E1" sqref="E1"/>
    </sheetView>
  </sheetViews>
  <sheetFormatPr defaultRowHeight="14.4" x14ac:dyDescent="0.3"/>
  <cols>
    <col min="1" max="1" width="5.5546875" customWidth="1"/>
    <col min="2" max="2" width="12" bestFit="1" customWidth="1"/>
    <col min="3" max="4" width="12.5546875" bestFit="1" customWidth="1"/>
    <col min="6" max="6" width="7.109375" customWidth="1"/>
    <col min="17" max="17" width="4.109375" customWidth="1"/>
    <col min="25" max="25" width="3.6640625" customWidth="1"/>
  </cols>
  <sheetData>
    <row r="1" spans="1:31" ht="16.8" x14ac:dyDescent="0.35">
      <c r="B1" t="s">
        <v>373</v>
      </c>
      <c r="C1" t="s">
        <v>2</v>
      </c>
      <c r="G1" t="s">
        <v>42</v>
      </c>
      <c r="H1" t="s">
        <v>372</v>
      </c>
      <c r="L1" t="s">
        <v>371</v>
      </c>
      <c r="R1" t="s">
        <v>370</v>
      </c>
      <c r="AA1" t="s">
        <v>369</v>
      </c>
    </row>
    <row r="2" spans="1:31" ht="16.2" x14ac:dyDescent="0.3">
      <c r="A2" s="2" t="s">
        <v>31</v>
      </c>
      <c r="B2" s="8">
        <v>5</v>
      </c>
      <c r="C2" s="8">
        <v>4</v>
      </c>
      <c r="D2" s="8">
        <v>2</v>
      </c>
      <c r="E2" s="8">
        <v>1</v>
      </c>
      <c r="G2" s="25" cm="1">
        <f t="array" ref="G2:G4">B2:B4-B6</f>
        <v>0.66666666666666696</v>
      </c>
      <c r="H2" s="25" cm="1">
        <f t="array" ref="H2:H4">C2:C4-C6</f>
        <v>-0.33333333333333304</v>
      </c>
      <c r="I2" s="25" cm="1">
        <f t="array" ref="I2:I4">D2:D4-D6</f>
        <v>-0.33333333333333348</v>
      </c>
      <c r="J2" s="25" cm="1">
        <f t="array" ref="J2:J4">E2:E4-E6</f>
        <v>-0.66666666666666674</v>
      </c>
      <c r="L2" s="25" cm="1">
        <f t="array" ref="L2:N4">MMULT(G2:J4,TRANSPOSE(G2:J4))</f>
        <v>1.1111111111111116</v>
      </c>
      <c r="M2" s="25">
        <v>-0.55555555555555525</v>
      </c>
      <c r="N2" s="25">
        <v>-0.55555555555555569</v>
      </c>
      <c r="R2" t="s">
        <v>368</v>
      </c>
      <c r="Z2" s="2" t="s">
        <v>31</v>
      </c>
      <c r="AA2">
        <v>1</v>
      </c>
      <c r="AB2">
        <v>2</v>
      </c>
      <c r="AC2">
        <v>1</v>
      </c>
      <c r="AD2">
        <v>2</v>
      </c>
    </row>
    <row r="3" spans="1:31" x14ac:dyDescent="0.3">
      <c r="A3" s="2" t="s">
        <v>29</v>
      </c>
      <c r="B3" s="8">
        <v>4</v>
      </c>
      <c r="C3" s="8">
        <v>5</v>
      </c>
      <c r="D3" s="8">
        <v>2</v>
      </c>
      <c r="E3" s="8">
        <v>2</v>
      </c>
      <c r="G3" s="25">
        <v>-0.33333333333333304</v>
      </c>
      <c r="H3" s="25">
        <v>0.66666666666666696</v>
      </c>
      <c r="I3" s="25">
        <v>-0.33333333333333348</v>
      </c>
      <c r="J3" s="25">
        <v>0.33333333333333326</v>
      </c>
      <c r="L3" s="25">
        <v>-0.55555555555555525</v>
      </c>
      <c r="M3" s="25">
        <v>0.77777777777777801</v>
      </c>
      <c r="N3" s="25">
        <v>-0.22222222222222243</v>
      </c>
      <c r="R3" cm="1">
        <f t="array" ref="R3:U3">MMULT(TRANSPOSE(F16:F18),B2:E4)</f>
        <v>13</v>
      </c>
      <c r="S3">
        <v>13</v>
      </c>
      <c r="T3">
        <v>7</v>
      </c>
      <c r="U3">
        <v>5</v>
      </c>
      <c r="V3" s="23" t="s">
        <v>367</v>
      </c>
      <c r="Z3" s="2" t="s">
        <v>29</v>
      </c>
      <c r="AA3">
        <v>2</v>
      </c>
      <c r="AB3">
        <v>1</v>
      </c>
      <c r="AC3">
        <v>2</v>
      </c>
      <c r="AD3">
        <v>1</v>
      </c>
    </row>
    <row r="4" spans="1:31" x14ac:dyDescent="0.3">
      <c r="A4" s="2" t="s">
        <v>27</v>
      </c>
      <c r="B4" s="8">
        <v>4</v>
      </c>
      <c r="C4" s="8">
        <v>4</v>
      </c>
      <c r="D4" s="8">
        <v>3</v>
      </c>
      <c r="E4" s="8">
        <v>2</v>
      </c>
      <c r="G4" s="25">
        <v>-0.33333333333333304</v>
      </c>
      <c r="H4" s="25">
        <v>-0.33333333333333304</v>
      </c>
      <c r="I4" s="25">
        <v>0.66666666666666652</v>
      </c>
      <c r="J4" s="25">
        <v>0.33333333333333326</v>
      </c>
      <c r="L4" s="25">
        <v>-0.55555555555555569</v>
      </c>
      <c r="M4" s="25">
        <v>-0.22222222222222243</v>
      </c>
      <c r="N4" s="25">
        <v>0.77777777777777712</v>
      </c>
      <c r="R4" t="str">
        <f ca="1">_xlfn.FORMULATEXT(R3)</f>
        <v>=MMULT(TRANSPOSE(F16:F18),B2:E4)</v>
      </c>
      <c r="Z4" s="2" t="s">
        <v>27</v>
      </c>
      <c r="AA4">
        <v>5</v>
      </c>
      <c r="AB4">
        <v>4</v>
      </c>
      <c r="AC4">
        <v>5</v>
      </c>
      <c r="AD4">
        <v>4</v>
      </c>
    </row>
    <row r="5" spans="1:31" x14ac:dyDescent="0.3">
      <c r="G5" t="str">
        <f ca="1">_xlfn.FORMULATEXT(G2)</f>
        <v>=B2:B4-B6</v>
      </c>
      <c r="L5" t="str">
        <f ca="1">_xlfn.FORMULATEXT(L2)</f>
        <v>=MMULT(G2:J4,TRANSPOSE(G2:J4))</v>
      </c>
      <c r="Z5" s="2" t="s">
        <v>25</v>
      </c>
      <c r="AA5">
        <v>4</v>
      </c>
      <c r="AB5">
        <v>5</v>
      </c>
      <c r="AC5">
        <v>4</v>
      </c>
      <c r="AD5">
        <v>5</v>
      </c>
    </row>
    <row r="6" spans="1:31" ht="16.2" x14ac:dyDescent="0.3">
      <c r="B6" s="25">
        <f>AVERAGE(B2:B4)</f>
        <v>4.333333333333333</v>
      </c>
      <c r="C6" s="25">
        <f>AVERAGE(C2:C4)</f>
        <v>4.333333333333333</v>
      </c>
      <c r="D6" s="25">
        <f>AVERAGE(D2:D4)</f>
        <v>2.3333333333333335</v>
      </c>
      <c r="E6" s="25">
        <f>AVERAGE(E2:E4)</f>
        <v>1.6666666666666667</v>
      </c>
      <c r="R6" t="s">
        <v>366</v>
      </c>
    </row>
    <row r="7" spans="1:31" ht="16.8" x14ac:dyDescent="0.35">
      <c r="B7" t="s">
        <v>16</v>
      </c>
      <c r="L7" t="s">
        <v>365</v>
      </c>
      <c r="R7" s="26" cm="1">
        <f t="array" ref="R7:U7">1/3*R3:U3</f>
        <v>4.333333333333333</v>
      </c>
      <c r="S7" s="26">
        <v>4.333333333333333</v>
      </c>
      <c r="T7" s="26">
        <v>2.333333333333333</v>
      </c>
      <c r="U7" s="26">
        <v>1.6666666666666665</v>
      </c>
      <c r="V7" s="23" t="s">
        <v>364</v>
      </c>
      <c r="AA7" s="2" t="s">
        <v>31</v>
      </c>
      <c r="AB7" s="2" t="s">
        <v>29</v>
      </c>
      <c r="AC7" s="2" t="s">
        <v>27</v>
      </c>
      <c r="AD7" s="2" t="s">
        <v>25</v>
      </c>
    </row>
    <row r="8" spans="1:31" x14ac:dyDescent="0.3">
      <c r="R8" t="str">
        <f ca="1">_xlfn.FORMULATEXT(R7)</f>
        <v>=1/3*R3:U3</v>
      </c>
      <c r="Z8" s="2" t="s">
        <v>31</v>
      </c>
      <c r="AA8">
        <v>0</v>
      </c>
    </row>
    <row r="9" spans="1:31" ht="16.2" x14ac:dyDescent="0.3">
      <c r="B9" t="s">
        <v>363</v>
      </c>
      <c r="C9" t="s">
        <v>362</v>
      </c>
      <c r="H9" t="s">
        <v>361</v>
      </c>
      <c r="L9" s="20" t="s">
        <v>360</v>
      </c>
      <c r="Z9" s="2" t="s">
        <v>29</v>
      </c>
      <c r="AA9">
        <f>SUMXMY2(AA3:AD3,$AA$2:$AD$2)</f>
        <v>4</v>
      </c>
      <c r="AB9">
        <v>0</v>
      </c>
      <c r="AE9" t="s">
        <v>359</v>
      </c>
    </row>
    <row r="10" spans="1:31" ht="16.2" x14ac:dyDescent="0.3">
      <c r="B10" s="8">
        <v>0</v>
      </c>
      <c r="C10" s="25">
        <f>B11</f>
        <v>1.7320508075688772</v>
      </c>
      <c r="D10" s="25">
        <f>B12</f>
        <v>1.7320508075688772</v>
      </c>
      <c r="H10">
        <v>1</v>
      </c>
      <c r="I10">
        <v>0</v>
      </c>
      <c r="J10">
        <v>0</v>
      </c>
      <c r="L10" s="25" cm="1">
        <f t="array" ref="L10:N12">-1/2*MMULT(H28:J30,MMULT(B16:D18,H28:J30))</f>
        <v>1.1111111111111112</v>
      </c>
      <c r="M10" s="25">
        <v>-0.55555555555555547</v>
      </c>
      <c r="N10" s="25">
        <v>-0.55555555555555558</v>
      </c>
      <c r="R10" t="s">
        <v>358</v>
      </c>
      <c r="Z10" s="2" t="s">
        <v>27</v>
      </c>
      <c r="AA10">
        <f>SUMXMY2(AA4:AD4,$AA$2:$AD$2)</f>
        <v>40</v>
      </c>
      <c r="AB10">
        <f>SUMXMY2(AA4:AD4,$AA$3:$AD$3)</f>
        <v>36</v>
      </c>
      <c r="AC10">
        <v>0</v>
      </c>
      <c r="AE10" t="s">
        <v>357</v>
      </c>
    </row>
    <row r="11" spans="1:31" x14ac:dyDescent="0.3">
      <c r="B11" s="25">
        <f>SQRT(SUMXMY2(B3:E3,$B$2:$E$2))</f>
        <v>1.7320508075688772</v>
      </c>
      <c r="C11" s="8">
        <v>0</v>
      </c>
      <c r="D11" s="25">
        <f>C12</f>
        <v>1.4142135623730951</v>
      </c>
      <c r="H11">
        <v>0</v>
      </c>
      <c r="I11">
        <v>1</v>
      </c>
      <c r="J11">
        <v>0</v>
      </c>
      <c r="L11" s="25">
        <v>-0.55555555555555547</v>
      </c>
      <c r="M11" s="25">
        <v>0.77777777777777801</v>
      </c>
      <c r="N11" s="25">
        <v>-0.22222222222222238</v>
      </c>
      <c r="R11" s="26" cm="1">
        <f t="array" ref="R11:U13">MMULT(F16:F18,_xlfn.ANCHORARRAY(R7))</f>
        <v>4.333333333333333</v>
      </c>
      <c r="S11" s="26">
        <v>4.333333333333333</v>
      </c>
      <c r="T11" s="26">
        <v>2.333333333333333</v>
      </c>
      <c r="U11" s="26">
        <v>1.6666666666666665</v>
      </c>
      <c r="V11" s="23" t="s">
        <v>356</v>
      </c>
      <c r="Z11" s="2" t="s">
        <v>25</v>
      </c>
      <c r="AA11">
        <f>SUMXMY2(AA5:AD5,$AA$2:$AD$2)</f>
        <v>36</v>
      </c>
      <c r="AB11">
        <f>SUMXMY2(AA5:AD5,$AA$3:$AD$3)</f>
        <v>40</v>
      </c>
      <c r="AC11">
        <f>SUMXMY2(AA5:AD5,$AA$4:$AD$4)</f>
        <v>4</v>
      </c>
      <c r="AD11">
        <v>0</v>
      </c>
      <c r="AE11" t="s">
        <v>355</v>
      </c>
    </row>
    <row r="12" spans="1:31" x14ac:dyDescent="0.3">
      <c r="B12" s="25">
        <f>SQRT(SUMXMY2(B4:E4,$B$2:$E$2))</f>
        <v>1.7320508075688772</v>
      </c>
      <c r="C12" s="25">
        <f>SQRT(SUMXMY2(B4:E4,$B$3:$E$3))</f>
        <v>1.4142135623730951</v>
      </c>
      <c r="D12" s="8">
        <v>0</v>
      </c>
      <c r="H12">
        <v>0</v>
      </c>
      <c r="I12">
        <v>0</v>
      </c>
      <c r="J12">
        <v>1</v>
      </c>
      <c r="L12" s="25">
        <v>-0.55555555555555558</v>
      </c>
      <c r="M12" s="25">
        <v>-0.22222222222222238</v>
      </c>
      <c r="N12" s="25">
        <v>0.7777777777777779</v>
      </c>
      <c r="R12" s="26">
        <v>4.333333333333333</v>
      </c>
      <c r="S12" s="26">
        <v>4.333333333333333</v>
      </c>
      <c r="T12" s="26">
        <v>2.333333333333333</v>
      </c>
      <c r="U12" s="26">
        <v>1.6666666666666665</v>
      </c>
    </row>
    <row r="13" spans="1:31" x14ac:dyDescent="0.3">
      <c r="B13" t="str">
        <f ca="1">_xlfn.FORMULATEXT(B11)</f>
        <v>=SQRT(SUMXMY2(B3:E3,$B$2:$E$2))</v>
      </c>
      <c r="L13" t="str">
        <f ca="1">_xlfn.FORMULATEXT(L10)</f>
        <v>=-1/2*MMULT(H28:J30,MMULT(B16:D18,H28:J30))</v>
      </c>
      <c r="R13" s="26">
        <v>4.333333333333333</v>
      </c>
      <c r="S13" s="26">
        <v>4.333333333333333</v>
      </c>
      <c r="T13" s="26">
        <v>2.333333333333333</v>
      </c>
      <c r="U13" s="26">
        <v>1.6666666666666665</v>
      </c>
      <c r="AD13" t="s">
        <v>354</v>
      </c>
      <c r="AE13" t="s">
        <v>353</v>
      </c>
    </row>
    <row r="14" spans="1:31" x14ac:dyDescent="0.3">
      <c r="AE14" t="s">
        <v>352</v>
      </c>
    </row>
    <row r="15" spans="1:31" ht="16.2" x14ac:dyDescent="0.3">
      <c r="B15" t="s">
        <v>351</v>
      </c>
      <c r="F15" t="s">
        <v>350</v>
      </c>
      <c r="H15" t="s">
        <v>349</v>
      </c>
      <c r="R15" t="s">
        <v>342</v>
      </c>
    </row>
    <row r="16" spans="1:31" x14ac:dyDescent="0.3">
      <c r="B16" s="8" cm="1">
        <f t="array" ref="B16:D18">(B10:D12)^2</f>
        <v>0</v>
      </c>
      <c r="C16" s="8">
        <v>2.9999999999999996</v>
      </c>
      <c r="D16" s="8">
        <v>2.9999999999999996</v>
      </c>
      <c r="F16" s="8">
        <v>1</v>
      </c>
      <c r="H16" s="8" cm="1">
        <f t="array" ref="H16:J18">MMULT(F16:F18,TRANSPOSE(F16:F18))</f>
        <v>1</v>
      </c>
      <c r="I16" s="8">
        <v>1</v>
      </c>
      <c r="J16" s="8">
        <v>1</v>
      </c>
      <c r="R16" s="26" cm="1">
        <f t="array" ref="R16:T18">H10:J12-H22:J24</f>
        <v>0.66666666666666674</v>
      </c>
      <c r="S16" s="26">
        <v>-0.33333333333333331</v>
      </c>
      <c r="T16" s="26">
        <v>-0.33333333333333331</v>
      </c>
      <c r="U16" s="23" t="s">
        <v>348</v>
      </c>
      <c r="W16" s="26">
        <f>1/3</f>
        <v>0.33333333333333331</v>
      </c>
      <c r="X16" s="20" t="s">
        <v>347</v>
      </c>
    </row>
    <row r="17" spans="2:24" x14ac:dyDescent="0.3">
      <c r="B17" s="8">
        <v>2.9999999999999996</v>
      </c>
      <c r="C17" s="8">
        <v>0</v>
      </c>
      <c r="D17" s="8">
        <v>2.0000000000000004</v>
      </c>
      <c r="F17" s="8">
        <v>1</v>
      </c>
      <c r="H17" s="8">
        <v>1</v>
      </c>
      <c r="I17" s="8">
        <v>1</v>
      </c>
      <c r="J17" s="8">
        <v>1</v>
      </c>
      <c r="R17" s="26">
        <v>-0.33333333333333331</v>
      </c>
      <c r="S17" s="26">
        <v>0.66666666666666674</v>
      </c>
      <c r="T17" s="26">
        <v>-0.33333333333333331</v>
      </c>
      <c r="U17" s="251" t="s">
        <v>346</v>
      </c>
      <c r="W17" t="str">
        <f ca="1">_xlfn.FORMULATEXT(W16)</f>
        <v>=1/3</v>
      </c>
    </row>
    <row r="18" spans="2:24" x14ac:dyDescent="0.3">
      <c r="B18" s="8">
        <v>2.9999999999999996</v>
      </c>
      <c r="C18" s="8">
        <v>2.0000000000000004</v>
      </c>
      <c r="D18" s="8">
        <v>0</v>
      </c>
      <c r="F18" s="8">
        <v>1</v>
      </c>
      <c r="H18" s="8">
        <v>1</v>
      </c>
      <c r="I18" s="8">
        <v>1</v>
      </c>
      <c r="J18" s="8">
        <v>1</v>
      </c>
      <c r="R18" s="26">
        <v>-0.33333333333333331</v>
      </c>
      <c r="S18" s="26">
        <v>-0.33333333333333331</v>
      </c>
      <c r="T18" s="26">
        <v>0.66666666666666674</v>
      </c>
      <c r="W18" s="26">
        <f>1-W16</f>
        <v>0.66666666666666674</v>
      </c>
      <c r="X18" s="20" t="s">
        <v>345</v>
      </c>
    </row>
    <row r="19" spans="2:24" x14ac:dyDescent="0.3">
      <c r="B19" t="str">
        <f ca="1">_xlfn.FORMULATEXT(B16)</f>
        <v>=(B10:D12)^2</v>
      </c>
      <c r="H19" t="str">
        <f ca="1">_xlfn.FORMULATEXT(H16)</f>
        <v>=MMULT(F16:F18,TRANSPOSE(F16:F18))</v>
      </c>
      <c r="W19" t="str">
        <f ca="1">_xlfn.FORMULATEXT(W18)</f>
        <v>=1-W16</v>
      </c>
    </row>
    <row r="21" spans="2:24" ht="16.2" x14ac:dyDescent="0.3">
      <c r="B21" t="s">
        <v>344</v>
      </c>
      <c r="H21" s="20" t="s">
        <v>343</v>
      </c>
    </row>
    <row r="22" spans="2:24" x14ac:dyDescent="0.3">
      <c r="B22" cm="1">
        <f t="array" ref="B22:E25">[2]!CORR(B2:E4)</f>
        <v>0.99999999999999978</v>
      </c>
      <c r="C22">
        <v>-0.49999999999999989</v>
      </c>
      <c r="D22">
        <v>-0.49999999999999989</v>
      </c>
      <c r="E22">
        <v>-1</v>
      </c>
      <c r="H22" s="25" cm="1">
        <f t="array" ref="H22:J24">1/3*(H16:J18)</f>
        <v>0.33333333333333331</v>
      </c>
      <c r="I22" s="25">
        <v>0.33333333333333331</v>
      </c>
      <c r="J22" s="25">
        <v>0.33333333333333331</v>
      </c>
    </row>
    <row r="23" spans="2:24" x14ac:dyDescent="0.3">
      <c r="B23">
        <v>-0.49999999999999989</v>
      </c>
      <c r="C23">
        <v>0.99999999999999978</v>
      </c>
      <c r="D23">
        <v>-0.49999999999999989</v>
      </c>
      <c r="E23">
        <v>0.49999999999999989</v>
      </c>
      <c r="H23" s="25">
        <v>0.33333333333333331</v>
      </c>
      <c r="I23" s="25">
        <v>0.33333333333333331</v>
      </c>
      <c r="J23" s="25">
        <v>0.33333333333333331</v>
      </c>
    </row>
    <row r="24" spans="2:24" x14ac:dyDescent="0.3">
      <c r="B24">
        <v>-0.49999999999999989</v>
      </c>
      <c r="C24">
        <v>-0.49999999999999989</v>
      </c>
      <c r="D24">
        <v>1</v>
      </c>
      <c r="E24">
        <v>0.5</v>
      </c>
      <c r="H24" s="25">
        <v>0.33333333333333331</v>
      </c>
      <c r="I24" s="25">
        <v>0.33333333333333331</v>
      </c>
      <c r="J24" s="25">
        <v>0.33333333333333331</v>
      </c>
    </row>
    <row r="25" spans="2:24" x14ac:dyDescent="0.3">
      <c r="B25">
        <v>-1</v>
      </c>
      <c r="C25">
        <v>0.49999999999999989</v>
      </c>
      <c r="D25">
        <v>0.5</v>
      </c>
      <c r="E25">
        <v>1</v>
      </c>
      <c r="H25" t="str">
        <f ca="1">_xlfn.FORMULATEXT(H22)</f>
        <v>=1/3*(H16:J18)</v>
      </c>
    </row>
    <row r="26" spans="2:24" x14ac:dyDescent="0.3">
      <c r="B26" t="str">
        <f ca="1">_xlfn.FORMULATEXT(B22)</f>
        <v>=CORR(B2:E4)</v>
      </c>
    </row>
    <row r="27" spans="2:24" ht="16.2" x14ac:dyDescent="0.3">
      <c r="H27" t="s">
        <v>342</v>
      </c>
    </row>
    <row r="28" spans="2:24" x14ac:dyDescent="0.3">
      <c r="B28" t="s">
        <v>341</v>
      </c>
      <c r="H28" s="25" cm="1">
        <f t="array" ref="H28:J30">H10:J12-H22:J24</f>
        <v>0.66666666666666674</v>
      </c>
      <c r="I28" s="25">
        <v>-0.33333333333333331</v>
      </c>
      <c r="J28" s="25">
        <v>-0.33333333333333331</v>
      </c>
    </row>
    <row r="29" spans="2:24" x14ac:dyDescent="0.3">
      <c r="B29" s="249">
        <f>SQRT($B$22+$B$22-2*B22)</f>
        <v>0</v>
      </c>
      <c r="C29" s="250">
        <f>SQRT($C$23+$C$23-2*C22)</f>
        <v>1.732050807568877</v>
      </c>
      <c r="D29" s="250">
        <f>SQRT($D$24+$B$22-2*D22)</f>
        <v>1.7320508075688772</v>
      </c>
      <c r="E29" s="249">
        <f>SQRT($E$25+$B$22-2*E22)</f>
        <v>2</v>
      </c>
      <c r="H29" s="25">
        <v>-0.33333333333333331</v>
      </c>
      <c r="I29" s="25">
        <v>0.66666666666666674</v>
      </c>
      <c r="J29" s="25">
        <v>-0.33333333333333331</v>
      </c>
    </row>
    <row r="30" spans="2:24" x14ac:dyDescent="0.3">
      <c r="B30" s="250">
        <f>SQRT($B$22+$C$23-2*B23)</f>
        <v>1.732050807568877</v>
      </c>
      <c r="C30" s="249">
        <f>SQRT($C$23+$C$23-2*C23)</f>
        <v>0</v>
      </c>
      <c r="D30" s="250">
        <f>SQRT($D$24+$C$23-2*D23)</f>
        <v>1.7320508075688772</v>
      </c>
      <c r="E30" s="249">
        <f>SQRT($E$25+$C$23-2*E23)</f>
        <v>1</v>
      </c>
      <c r="H30" s="25">
        <v>-0.33333333333333331</v>
      </c>
      <c r="I30" s="25">
        <v>-0.33333333333333331</v>
      </c>
      <c r="J30" s="25">
        <v>0.66666666666666674</v>
      </c>
    </row>
    <row r="31" spans="2:24" x14ac:dyDescent="0.3">
      <c r="B31" s="250">
        <f>SQRT($B$22+$D$24-2*B24)</f>
        <v>1.7320508075688772</v>
      </c>
      <c r="C31" s="250">
        <f>SQRT($C$23+$D$24-2*C24)</f>
        <v>1.7320508075688772</v>
      </c>
      <c r="D31" s="249">
        <f>SQRT($D$24+$D$24-2*D24)</f>
        <v>0</v>
      </c>
      <c r="E31" s="249">
        <f>SQRT($E$25+$D$24-2*E24)</f>
        <v>1</v>
      </c>
      <c r="H31" t="str">
        <f ca="1">_xlfn.FORMULATEXT(H28)</f>
        <v>=H10:J12-H22:J24</v>
      </c>
    </row>
    <row r="32" spans="2:24" x14ac:dyDescent="0.3">
      <c r="B32" s="249">
        <f>SQRT($B$22+$E$25-2*B25)</f>
        <v>2</v>
      </c>
      <c r="C32" s="249">
        <f>SQRT($C$23+$E$25-2*C25)</f>
        <v>1</v>
      </c>
      <c r="D32" s="249">
        <f>SQRT($D$24+$E$25-2*D25)</f>
        <v>1</v>
      </c>
      <c r="E32" s="249">
        <f>SQRT($E$25+$E$25-2*E25)</f>
        <v>0</v>
      </c>
    </row>
    <row r="33" spans="2:5" x14ac:dyDescent="0.3">
      <c r="B33" s="249" t="str">
        <f ca="1">_xlfn.FORMULATEXT(B29)</f>
        <v>=SQRT($B$22+$B$22-2*B22)</v>
      </c>
      <c r="E33" t="str">
        <f ca="1">_xlfn.FORMULATEXT(E29)</f>
        <v>=SQRT($E$25+$B$22-2*E22)</v>
      </c>
    </row>
    <row r="34" spans="2:5" x14ac:dyDescent="0.3">
      <c r="B34" s="249" t="str">
        <f ca="1">_xlfn.FORMULATEXT(B30)</f>
        <v>=SQRT($B$22+$C$23-2*B23)</v>
      </c>
      <c r="E34" t="str">
        <f ca="1">_xlfn.FORMULATEXT(E30)</f>
        <v>=SQRT($E$25+$C$23-2*E23)</v>
      </c>
    </row>
    <row r="35" spans="2:5" x14ac:dyDescent="0.3">
      <c r="B35" s="249" t="str">
        <f ca="1">_xlfn.FORMULATEXT(B31)</f>
        <v>=SQRT($B$22+$D$24-2*B24)</v>
      </c>
      <c r="E35" t="str">
        <f ca="1">_xlfn.FORMULATEXT(E31)</f>
        <v>=SQRT($E$25+$D$24-2*E24)</v>
      </c>
    </row>
    <row r="36" spans="2:5" x14ac:dyDescent="0.3">
      <c r="B36" s="249" t="str">
        <f ca="1">_xlfn.FORMULATEXT(B32)</f>
        <v>=SQRT($B$22+$E$25-2*B25)</v>
      </c>
      <c r="E36" t="str">
        <f ca="1">_xlfn.FORMULATEXT(E32)</f>
        <v>=SQRT($E$25+$E$25-2*E25)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1F32E-8BC8-45FB-AF98-8806DCA51296}">
  <dimension ref="A2:AB32"/>
  <sheetViews>
    <sheetView workbookViewId="0">
      <selection activeCell="G30" sqref="G30"/>
    </sheetView>
  </sheetViews>
  <sheetFormatPr defaultRowHeight="14.4" x14ac:dyDescent="0.3"/>
  <cols>
    <col min="19" max="19" width="10" customWidth="1"/>
  </cols>
  <sheetData>
    <row r="2" spans="1:28" ht="15.6" x14ac:dyDescent="0.35">
      <c r="A2" t="s">
        <v>2</v>
      </c>
      <c r="B2" s="8" t="s">
        <v>14</v>
      </c>
      <c r="C2" s="8" t="s">
        <v>9</v>
      </c>
      <c r="D2" s="8" t="s">
        <v>8</v>
      </c>
      <c r="E2" s="8" t="s">
        <v>6</v>
      </c>
      <c r="I2" t="s">
        <v>408</v>
      </c>
      <c r="Q2" t="s">
        <v>407</v>
      </c>
      <c r="R2" t="s">
        <v>406</v>
      </c>
      <c r="AB2" t="s">
        <v>405</v>
      </c>
    </row>
    <row r="3" spans="1:28" x14ac:dyDescent="0.3">
      <c r="A3" t="s">
        <v>31</v>
      </c>
      <c r="B3" s="8">
        <v>5</v>
      </c>
      <c r="C3" s="8">
        <v>4</v>
      </c>
      <c r="D3" s="8">
        <v>2</v>
      </c>
      <c r="E3" s="8">
        <v>1</v>
      </c>
      <c r="I3" cm="1">
        <f t="array" ref="I3:I8">B3:B8-AVERAGE(B3:B8)</f>
        <v>2</v>
      </c>
      <c r="J3" cm="1">
        <f t="array" ref="J3:J8">C3:C8-AVERAGE(C3:C8)</f>
        <v>1</v>
      </c>
      <c r="K3" s="21" cm="1">
        <f t="array" ref="K3:K8">D3:D8-AVERAGE(D3:D8)</f>
        <v>-1.3333333333333335</v>
      </c>
      <c r="L3" s="21" cm="1">
        <f t="array" ref="L3:L8">E3:E8-AVERAGE(E3:E8)</f>
        <v>-2.1666666666666665</v>
      </c>
      <c r="P3" t="s">
        <v>31</v>
      </c>
      <c r="Q3">
        <f t="shared" ref="Q3:R8" si="0">I22*SQRT(I$21)</f>
        <v>3.3002756860988125</v>
      </c>
      <c r="R3">
        <f t="shared" si="0"/>
        <v>0.6463670510363837</v>
      </c>
      <c r="U3" s="12" t="s">
        <v>13</v>
      </c>
      <c r="V3" s="11" t="s">
        <v>12</v>
      </c>
      <c r="W3" s="11" t="s">
        <v>404</v>
      </c>
      <c r="AB3" t="s">
        <v>403</v>
      </c>
    </row>
    <row r="4" spans="1:28" x14ac:dyDescent="0.3">
      <c r="A4" t="s">
        <v>29</v>
      </c>
      <c r="B4" s="8">
        <v>4</v>
      </c>
      <c r="C4" s="8">
        <v>5</v>
      </c>
      <c r="D4" s="8">
        <v>2</v>
      </c>
      <c r="E4" s="8">
        <v>2</v>
      </c>
      <c r="I4">
        <v>1</v>
      </c>
      <c r="J4">
        <v>2</v>
      </c>
      <c r="K4" s="21">
        <v>-1.3333333333333335</v>
      </c>
      <c r="L4" s="21">
        <v>-1.1666666666666665</v>
      </c>
      <c r="P4" t="s">
        <v>29</v>
      </c>
      <c r="Q4">
        <f t="shared" si="0"/>
        <v>2.7079514304069425</v>
      </c>
      <c r="R4">
        <f t="shared" si="0"/>
        <v>-0.88303046907758609</v>
      </c>
      <c r="U4" s="26">
        <v>42.07407053393559</v>
      </c>
      <c r="V4">
        <f t="shared" ref="V4:V9" si="1">U4/$U$10</f>
        <v>0.91135170831629453</v>
      </c>
      <c r="W4">
        <f>V4</f>
        <v>0.91135170831629453</v>
      </c>
      <c r="AB4" t="s">
        <v>402</v>
      </c>
    </row>
    <row r="5" spans="1:28" x14ac:dyDescent="0.3">
      <c r="A5" t="s">
        <v>27</v>
      </c>
      <c r="B5" s="8">
        <v>1</v>
      </c>
      <c r="C5" s="8">
        <v>2</v>
      </c>
      <c r="D5" s="8">
        <v>4</v>
      </c>
      <c r="E5" s="8">
        <v>5</v>
      </c>
      <c r="I5">
        <v>-2</v>
      </c>
      <c r="J5">
        <v>-1</v>
      </c>
      <c r="K5" s="21">
        <v>0.66666666666666652</v>
      </c>
      <c r="L5" s="21">
        <v>1.8333333333333335</v>
      </c>
      <c r="P5" t="s">
        <v>27</v>
      </c>
      <c r="Q5">
        <f t="shared" si="0"/>
        <v>-2.8479768655487017</v>
      </c>
      <c r="R5">
        <f t="shared" si="0"/>
        <v>-0.76923107741851326</v>
      </c>
      <c r="U5" s="26">
        <v>3.3979979078130289</v>
      </c>
      <c r="V5">
        <f t="shared" si="1"/>
        <v>7.3602842768513282E-2</v>
      </c>
      <c r="W5">
        <f>V5+W4</f>
        <v>0.98495455108480778</v>
      </c>
      <c r="X5" t="s">
        <v>401</v>
      </c>
    </row>
    <row r="6" spans="1:28" x14ac:dyDescent="0.3">
      <c r="A6" t="s">
        <v>25</v>
      </c>
      <c r="B6" s="8">
        <v>2</v>
      </c>
      <c r="C6" s="8">
        <v>1</v>
      </c>
      <c r="D6" s="8">
        <v>5</v>
      </c>
      <c r="E6" s="8">
        <v>4</v>
      </c>
      <c r="I6">
        <v>-1</v>
      </c>
      <c r="J6">
        <v>-2</v>
      </c>
      <c r="K6" s="21">
        <v>1.6666666666666665</v>
      </c>
      <c r="L6" s="21">
        <v>0.83333333333333348</v>
      </c>
      <c r="P6" t="s">
        <v>25</v>
      </c>
      <c r="Q6">
        <f t="shared" si="0"/>
        <v>-2.6473618476026224</v>
      </c>
      <c r="R6">
        <f t="shared" si="0"/>
        <v>1.1950781239349062</v>
      </c>
      <c r="U6" s="26">
        <v>0.42712189949063212</v>
      </c>
      <c r="V6">
        <f t="shared" si="1"/>
        <v>9.251737895103947E-3</v>
      </c>
      <c r="W6">
        <f>V6+W5</f>
        <v>0.9942062889799117</v>
      </c>
      <c r="AB6" t="s">
        <v>400</v>
      </c>
    </row>
    <row r="7" spans="1:28" x14ac:dyDescent="0.3">
      <c r="A7" t="s">
        <v>23</v>
      </c>
      <c r="B7" s="8">
        <v>4</v>
      </c>
      <c r="C7" s="8">
        <v>4</v>
      </c>
      <c r="D7" s="8">
        <v>3</v>
      </c>
      <c r="E7" s="8">
        <v>2</v>
      </c>
      <c r="I7">
        <v>1</v>
      </c>
      <c r="J7">
        <v>1</v>
      </c>
      <c r="K7" s="21">
        <v>-0.33333333333333348</v>
      </c>
      <c r="L7" s="21">
        <v>-1.1666666666666665</v>
      </c>
      <c r="P7" t="s">
        <v>23</v>
      </c>
      <c r="Q7">
        <f t="shared" si="0"/>
        <v>1.8169860170964101</v>
      </c>
      <c r="R7">
        <f t="shared" si="0"/>
        <v>0.19057597708221077</v>
      </c>
      <c r="U7" s="26">
        <v>0.26747632542740862</v>
      </c>
      <c r="V7">
        <f t="shared" si="1"/>
        <v>5.7937110200882748E-3</v>
      </c>
      <c r="W7">
        <f>V7+W6</f>
        <v>1</v>
      </c>
      <c r="AB7" t="s">
        <v>399</v>
      </c>
    </row>
    <row r="8" spans="1:28" x14ac:dyDescent="0.3">
      <c r="A8" t="s">
        <v>22</v>
      </c>
      <c r="B8" s="8">
        <v>2</v>
      </c>
      <c r="C8" s="8">
        <v>2</v>
      </c>
      <c r="D8" s="8">
        <v>4</v>
      </c>
      <c r="E8" s="8">
        <v>5</v>
      </c>
      <c r="I8">
        <v>-1</v>
      </c>
      <c r="J8">
        <v>-1</v>
      </c>
      <c r="K8" s="21">
        <v>0.66666666666666652</v>
      </c>
      <c r="L8" s="21">
        <v>1.8333333333333335</v>
      </c>
      <c r="P8" t="s">
        <v>22</v>
      </c>
      <c r="Q8">
        <f t="shared" si="0"/>
        <v>-2.3298744204508415</v>
      </c>
      <c r="R8">
        <f t="shared" si="0"/>
        <v>-0.37975960555740251</v>
      </c>
      <c r="U8" s="26">
        <v>-1.1192165085174983E-15</v>
      </c>
      <c r="V8">
        <f t="shared" si="1"/>
        <v>-2.4242956863194913E-17</v>
      </c>
      <c r="W8">
        <f>V8+W7</f>
        <v>1</v>
      </c>
      <c r="AB8" t="s">
        <v>398</v>
      </c>
    </row>
    <row r="9" spans="1:28" x14ac:dyDescent="0.3">
      <c r="I9" t="str">
        <f ca="1">_xlfn.FORMULATEXT(I3)</f>
        <v>=B3:B8-AVERAGE(B3:B8)</v>
      </c>
      <c r="Q9" t="str">
        <f ca="1">_xlfn.FORMULATEXT(Q3)</f>
        <v>=I22*SQRT(I$21)</v>
      </c>
      <c r="U9" s="26">
        <v>5.135895267222587E-16</v>
      </c>
      <c r="V9">
        <f t="shared" si="1"/>
        <v>1.1124682889290804E-17</v>
      </c>
      <c r="W9">
        <f>V9+W8</f>
        <v>1</v>
      </c>
      <c r="AB9" t="s">
        <v>397</v>
      </c>
    </row>
    <row r="10" spans="1:28" x14ac:dyDescent="0.3">
      <c r="A10" t="s">
        <v>396</v>
      </c>
      <c r="R10" t="str">
        <f ca="1">_xlfn.FORMULATEXT(R3)</f>
        <v>=J22*SQRT(J$21)</v>
      </c>
      <c r="U10" s="26">
        <f>SUM(U4:U9)</f>
        <v>46.166666666666657</v>
      </c>
    </row>
    <row r="11" spans="1:28" ht="16.8" x14ac:dyDescent="0.35">
      <c r="A11" s="8">
        <v>0</v>
      </c>
      <c r="B11" s="26">
        <f>A12</f>
        <v>1.7320508075688772</v>
      </c>
      <c r="C11" s="26">
        <f>A13</f>
        <v>6.324555320336759</v>
      </c>
      <c r="D11">
        <f>A14</f>
        <v>6</v>
      </c>
      <c r="E11" s="26">
        <f>A15</f>
        <v>1.7320508075688772</v>
      </c>
      <c r="F11" s="26">
        <f>A16</f>
        <v>5.7445626465380286</v>
      </c>
      <c r="I11" t="s">
        <v>395</v>
      </c>
    </row>
    <row r="12" spans="1:28" x14ac:dyDescent="0.3">
      <c r="A12" s="26">
        <f>SQRT(SUMXMY2(B4:E4,$B$3:$E$3))</f>
        <v>1.7320508075688772</v>
      </c>
      <c r="B12">
        <v>0</v>
      </c>
      <c r="C12" s="26">
        <f>B13</f>
        <v>5.5677643628300215</v>
      </c>
      <c r="D12" s="26">
        <f>B14</f>
        <v>5.7445626465380286</v>
      </c>
      <c r="E12" s="26">
        <f>B15</f>
        <v>1.4142135623730951</v>
      </c>
      <c r="F12" s="26">
        <f>B16</f>
        <v>5.0990195135927845</v>
      </c>
      <c r="I12" s="26" cm="1">
        <f t="array" ref="I12:N17">MMULT(I3:L8,TRANSPOSE(I3:L8))</f>
        <v>11.472222222222221</v>
      </c>
      <c r="J12" s="26">
        <v>8.3055555555555554</v>
      </c>
      <c r="K12" s="26">
        <v>-9.8611111111111107</v>
      </c>
      <c r="L12" s="26">
        <v>-8.0277777777777786</v>
      </c>
      <c r="M12" s="26">
        <v>5.9722222222222214</v>
      </c>
      <c r="N12" s="26">
        <v>-7.8611111111111107</v>
      </c>
      <c r="P12" t="s">
        <v>374</v>
      </c>
      <c r="Q12" t="s">
        <v>394</v>
      </c>
      <c r="R12" t="s">
        <v>393</v>
      </c>
      <c r="S12" t="s">
        <v>392</v>
      </c>
    </row>
    <row r="13" spans="1:28" x14ac:dyDescent="0.3">
      <c r="A13" s="26">
        <f>SQRT(SUMXMY2(B5:E5,$B$3:$E$3))</f>
        <v>6.324555320336759</v>
      </c>
      <c r="B13" s="26">
        <f>SQRT(SUMXMY2(B5:E5,$B$4:$E$4))</f>
        <v>5.5677643628300215</v>
      </c>
      <c r="C13">
        <v>0</v>
      </c>
      <c r="D13">
        <f>C14</f>
        <v>2</v>
      </c>
      <c r="E13" s="26">
        <f>C15</f>
        <v>4.7958315233127191</v>
      </c>
      <c r="F13">
        <f>C16</f>
        <v>1</v>
      </c>
      <c r="I13" s="26">
        <v>8.3055555555555554</v>
      </c>
      <c r="J13" s="26">
        <v>8.1388888888888893</v>
      </c>
      <c r="K13" s="26">
        <v>-7.0277777777777786</v>
      </c>
      <c r="L13" s="26">
        <v>-8.1944444444444446</v>
      </c>
      <c r="M13" s="26">
        <v>4.8055555555555554</v>
      </c>
      <c r="N13" s="26">
        <v>-6.0277777777777777</v>
      </c>
      <c r="P13" t="s">
        <v>391</v>
      </c>
      <c r="Q13" s="26">
        <f>A12</f>
        <v>1.7320508075688772</v>
      </c>
      <c r="R13" s="26">
        <f>SQRT(SUMXMY2(Q4:R4,$Q$3:$R$3))</f>
        <v>1.6400929237124611</v>
      </c>
      <c r="S13" s="24">
        <f t="shared" ref="S13:S27" si="2">(Q13-R13)^2</f>
        <v>8.4562524033501164E-3</v>
      </c>
    </row>
    <row r="14" spans="1:28" x14ac:dyDescent="0.3">
      <c r="A14">
        <f>SQRT(SUMXMY2(B6:E6,$B$3:$E$3))</f>
        <v>6</v>
      </c>
      <c r="B14" s="26">
        <f>SQRT(SUMXMY2(B6:E6,$B$4:$E$4))</f>
        <v>5.7445626465380286</v>
      </c>
      <c r="C14">
        <f>SQRT(SUMXMY2(B6:E6,$B$5:$E$5))</f>
        <v>2</v>
      </c>
      <c r="D14">
        <v>0</v>
      </c>
      <c r="E14" s="26">
        <f>D15</f>
        <v>4.5825756949558398</v>
      </c>
      <c r="F14" s="26">
        <f>D16</f>
        <v>1.7320508075688772</v>
      </c>
      <c r="I14" s="26">
        <v>-9.8611111111111107</v>
      </c>
      <c r="J14" s="26">
        <v>-7.0277777777777786</v>
      </c>
      <c r="K14" s="26">
        <v>8.8055555555555571</v>
      </c>
      <c r="L14" s="26">
        <v>6.6388888888888893</v>
      </c>
      <c r="M14" s="26">
        <v>-5.3611111111111107</v>
      </c>
      <c r="N14" s="26">
        <v>6.8055555555555554</v>
      </c>
      <c r="P14" t="s">
        <v>390</v>
      </c>
      <c r="Q14" s="26">
        <f>A13</f>
        <v>6.324555320336759</v>
      </c>
      <c r="R14" s="26">
        <f>SQRT(SUMXMY2(Q5:R5,$Q$3:$R$3))</f>
        <v>6.309114636787414</v>
      </c>
      <c r="S14" s="24">
        <f t="shared" si="2"/>
        <v>2.3841470847101406E-4</v>
      </c>
    </row>
    <row r="15" spans="1:28" x14ac:dyDescent="0.3">
      <c r="A15" s="26">
        <f>SQRT(SUMXMY2(B7:E7,$B$3:$E$3))</f>
        <v>1.7320508075688772</v>
      </c>
      <c r="B15" s="26">
        <f>SQRT(SUMXMY2(B7:E7,$B$4:$E$4))</f>
        <v>1.4142135623730951</v>
      </c>
      <c r="C15" s="26">
        <f>SQRT(SUMXMY2(B7:E7,$B$5:$E$5))</f>
        <v>4.7958315233127191</v>
      </c>
      <c r="D15" s="26">
        <f>SQRT(SUMXMY2(B7:E7,$B$6:$E$6))</f>
        <v>4.5825756949558398</v>
      </c>
      <c r="E15">
        <v>0</v>
      </c>
      <c r="F15" s="26">
        <f>E16</f>
        <v>4.2426406871192848</v>
      </c>
      <c r="I15" s="26">
        <v>-8.0277777777777786</v>
      </c>
      <c r="J15" s="26">
        <v>-8.1944444444444446</v>
      </c>
      <c r="K15" s="26">
        <v>6.6388888888888893</v>
      </c>
      <c r="L15" s="26">
        <v>8.4722222222222214</v>
      </c>
      <c r="M15" s="26">
        <v>-4.5277777777777786</v>
      </c>
      <c r="N15" s="26">
        <v>5.6388888888888893</v>
      </c>
      <c r="P15" t="s">
        <v>389</v>
      </c>
      <c r="Q15" s="26">
        <f>A14</f>
        <v>6</v>
      </c>
      <c r="R15" s="26">
        <f>SQRT(SUMXMY2(Q6:R6,$Q$3:$R$3))</f>
        <v>5.9728951165925839</v>
      </c>
      <c r="S15" s="24">
        <f t="shared" si="2"/>
        <v>7.3467470452962197E-4</v>
      </c>
    </row>
    <row r="16" spans="1:28" x14ac:dyDescent="0.3">
      <c r="A16" s="26">
        <f>SQRT(SUMXMY2(B8:E8,$B$3:$E$3))</f>
        <v>5.7445626465380286</v>
      </c>
      <c r="B16" s="26">
        <f>SQRT(SUMXMY2(B8:E8,$B$4:$E$4))</f>
        <v>5.0990195135927845</v>
      </c>
      <c r="C16">
        <f>SQRT(SUMXMY2(B8:E8,$B$5:$E$5))</f>
        <v>1</v>
      </c>
      <c r="D16" s="26">
        <f>SQRT(SUMXMY2(B8:E8,$B$6:$E$6))</f>
        <v>1.7320508075688772</v>
      </c>
      <c r="E16" s="26">
        <f>SQRT(SUMXMY2(B8:E8,$B$7:$E$7))</f>
        <v>4.2426406871192848</v>
      </c>
      <c r="F16">
        <v>0</v>
      </c>
      <c r="I16" s="26">
        <v>5.9722222222222214</v>
      </c>
      <c r="J16" s="26">
        <v>4.8055555555555554</v>
      </c>
      <c r="K16" s="26">
        <v>-5.3611111111111107</v>
      </c>
      <c r="L16" s="26">
        <v>-4.5277777777777786</v>
      </c>
      <c r="M16" s="26">
        <v>3.4722222222222219</v>
      </c>
      <c r="N16" s="26">
        <v>-4.3611111111111107</v>
      </c>
      <c r="P16" t="s">
        <v>388</v>
      </c>
      <c r="Q16" s="26">
        <f>A15</f>
        <v>1.7320508075688772</v>
      </c>
      <c r="R16" s="26">
        <f>SQRT(SUMXMY2(Q7:R7,$Q$3:$R$3))</f>
        <v>1.5517389423693519</v>
      </c>
      <c r="S16" s="24">
        <f t="shared" si="2"/>
        <v>3.2512368731731765E-2</v>
      </c>
    </row>
    <row r="17" spans="1:19" x14ac:dyDescent="0.3">
      <c r="A17" s="26" t="str">
        <f ca="1">_xlfn.FORMULATEXT(A12)</f>
        <v>=SQRT(SUMXMY2(B4:E4,$B$3:$E$3))</v>
      </c>
      <c r="E17" t="str">
        <f ca="1">_xlfn.FORMULATEXT(E16)</f>
        <v>=SQRT(SUMXMY2(B8:E8,$B$7:$E$7))</v>
      </c>
      <c r="I17" s="26">
        <v>-7.8611111111111107</v>
      </c>
      <c r="J17" s="26">
        <v>-6.0277777777777777</v>
      </c>
      <c r="K17" s="26">
        <v>6.8055555555555554</v>
      </c>
      <c r="L17" s="26">
        <v>5.6388888888888893</v>
      </c>
      <c r="M17" s="26">
        <v>-4.3611111111111107</v>
      </c>
      <c r="N17" s="26">
        <v>5.8055555555555554</v>
      </c>
      <c r="P17" t="s">
        <v>387</v>
      </c>
      <c r="Q17" s="26">
        <f>A16</f>
        <v>5.7445626465380286</v>
      </c>
      <c r="R17" s="26">
        <f>SQRT(SUMXMY2(Q8:R8,$Q$3:$R$3))</f>
        <v>5.7228949088423269</v>
      </c>
      <c r="S17" s="24">
        <f t="shared" si="2"/>
        <v>4.694908568497341E-4</v>
      </c>
    </row>
    <row r="18" spans="1:19" x14ac:dyDescent="0.3">
      <c r="A18" s="26" t="str">
        <f ca="1">_xlfn.FORMULATEXT(A13)</f>
        <v>=SQRT(SUMXMY2(B5:E5,$B$3:$E$3))</v>
      </c>
      <c r="I18" t="str">
        <f ca="1">_xlfn.FORMULATEXT(I12)</f>
        <v>=MMULT(I3:L8,TRANSPOSE(I3:L8))</v>
      </c>
      <c r="P18" t="s">
        <v>386</v>
      </c>
      <c r="Q18" s="26">
        <f>B13</f>
        <v>5.5677643628300215</v>
      </c>
      <c r="R18" s="26">
        <f>SQRT(SUMXMY2(Q5:R5,$Q$4:$R$4))</f>
        <v>5.5570936226900622</v>
      </c>
      <c r="S18" s="24">
        <f t="shared" si="2"/>
        <v>1.1386469513453815E-4</v>
      </c>
    </row>
    <row r="19" spans="1:19" x14ac:dyDescent="0.3">
      <c r="A19" s="26" t="str">
        <f ca="1">_xlfn.FORMULATEXT(A14)</f>
        <v>=SQRT(SUMXMY2(B6:E6,$B$3:$E$3))</v>
      </c>
      <c r="P19" t="s">
        <v>385</v>
      </c>
      <c r="Q19" s="26">
        <f>B14</f>
        <v>5.7445626465380286</v>
      </c>
      <c r="R19" s="26">
        <f>SQRT(SUMXMY2(Q6:R6,$Q$4:$R$4))</f>
        <v>5.7443812225493796</v>
      </c>
      <c r="S19" s="24">
        <f t="shared" si="2"/>
        <v>3.2914663657336209E-8</v>
      </c>
    </row>
    <row r="20" spans="1:19" x14ac:dyDescent="0.3">
      <c r="I20" t="s">
        <v>384</v>
      </c>
      <c r="P20" t="s">
        <v>383</v>
      </c>
      <c r="Q20" s="26">
        <f>B15</f>
        <v>1.4142135623730951</v>
      </c>
      <c r="R20" s="26">
        <f>SQRT(SUMXMY2(Q7:R7,$Q$4:$R$4))</f>
        <v>1.395152381982512</v>
      </c>
      <c r="S20" s="24">
        <f t="shared" si="2"/>
        <v>3.6332859788235094E-4</v>
      </c>
    </row>
    <row r="21" spans="1:19" x14ac:dyDescent="0.3">
      <c r="I21" s="168" cm="1">
        <f t="array" ref="I21:N29">[2]!eigVECTReal(I12:N17)</f>
        <v>42.07407053393559</v>
      </c>
      <c r="J21" s="167">
        <v>3.3979979078130289</v>
      </c>
      <c r="K21" s="167">
        <v>0.42712189949063212</v>
      </c>
      <c r="L21" s="167">
        <v>0.26747632542740862</v>
      </c>
      <c r="M21" s="167">
        <v>-1.1192165085174983E-15</v>
      </c>
      <c r="N21" s="166">
        <v>5.135895267222587E-16</v>
      </c>
      <c r="O21" s="12" t="s">
        <v>17</v>
      </c>
      <c r="P21" t="s">
        <v>382</v>
      </c>
      <c r="Q21" s="26">
        <f>B16</f>
        <v>5.0990195135927845</v>
      </c>
      <c r="R21" s="26">
        <f>SQRT(SUMXMY2(Q8:R8,$Q$4:$R$4))</f>
        <v>5.062901427604463</v>
      </c>
      <c r="S21" s="24">
        <f t="shared" si="2"/>
        <v>1.304516135459782E-3</v>
      </c>
    </row>
    <row r="22" spans="1:19" x14ac:dyDescent="0.3">
      <c r="I22" s="165">
        <v>0.50879514027764239</v>
      </c>
      <c r="J22" s="164">
        <v>0.3506450047213609</v>
      </c>
      <c r="K22" s="164">
        <v>-0.5283974239999939</v>
      </c>
      <c r="L22" s="164">
        <v>-0.40261768454038643</v>
      </c>
      <c r="M22" s="164">
        <v>0.42036828130993464</v>
      </c>
      <c r="N22" s="163">
        <v>-0.41358006555241578</v>
      </c>
      <c r="O22" t="s">
        <v>15</v>
      </c>
      <c r="P22" t="s">
        <v>381</v>
      </c>
      <c r="Q22" s="26">
        <f>C14</f>
        <v>2</v>
      </c>
      <c r="R22" s="26">
        <f>SQRT(SUMXMY2(Q6:R6,$Q$5:$R$5))</f>
        <v>1.9745270380390374</v>
      </c>
      <c r="S22" s="24">
        <f t="shared" si="2"/>
        <v>6.4887179106464779E-4</v>
      </c>
    </row>
    <row r="23" spans="1:19" x14ac:dyDescent="0.3">
      <c r="I23" s="161">
        <v>0.41747801061056289</v>
      </c>
      <c r="J23" s="26">
        <v>-0.47903156960484783</v>
      </c>
      <c r="K23" s="26">
        <v>0.24395060587453632</v>
      </c>
      <c r="L23" s="26">
        <v>5.2109139599802637E-2</v>
      </c>
      <c r="M23" s="26">
        <v>0.27132999144714731</v>
      </c>
      <c r="N23" s="202">
        <v>-0.37109475427666583</v>
      </c>
      <c r="P23" t="s">
        <v>380</v>
      </c>
      <c r="Q23" s="26">
        <f>C15</f>
        <v>4.7958315233127191</v>
      </c>
      <c r="R23" s="26">
        <f>SQRT(SUMXMY2(Q7:R7,$Q$5:$R$5))</f>
        <v>4.7626786872857529</v>
      </c>
      <c r="S23" s="24">
        <f t="shared" si="2"/>
        <v>1.0991105366309061E-3</v>
      </c>
    </row>
    <row r="24" spans="1:19" x14ac:dyDescent="0.3">
      <c r="I24" s="161">
        <v>-0.43906537714950966</v>
      </c>
      <c r="J24" s="26">
        <v>-0.41729700537914532</v>
      </c>
      <c r="K24" s="26">
        <v>0.12944980860137972</v>
      </c>
      <c r="L24" s="26">
        <v>-0.59818404323642804</v>
      </c>
      <c r="M24" s="26">
        <v>0.46295064984215967</v>
      </c>
      <c r="N24" s="202">
        <v>-0.42571872591691601</v>
      </c>
      <c r="P24" t="s">
        <v>379</v>
      </c>
      <c r="Q24" s="26">
        <f>C16</f>
        <v>1</v>
      </c>
      <c r="R24" s="26">
        <f>SQRT(SUMXMY2(Q8:R8,$Q$5:$R$5))</f>
        <v>0.64816523434232509</v>
      </c>
      <c r="S24" s="24">
        <f t="shared" si="2"/>
        <v>0.12378770232539102</v>
      </c>
    </row>
    <row r="25" spans="1:19" x14ac:dyDescent="0.3">
      <c r="I25" s="161">
        <v>-0.40813706815168344</v>
      </c>
      <c r="J25" s="26">
        <v>0.64831301926304763</v>
      </c>
      <c r="K25" s="26">
        <v>0.28794328563571814</v>
      </c>
      <c r="L25" s="26">
        <v>-1.6463721413160756E-2</v>
      </c>
      <c r="M25" s="26">
        <v>0.31391235997937289</v>
      </c>
      <c r="N25" s="202">
        <v>-0.38323341464116639</v>
      </c>
      <c r="P25" t="s">
        <v>378</v>
      </c>
      <c r="Q25" s="26">
        <f>D15</f>
        <v>4.5825756949558398</v>
      </c>
      <c r="R25" s="26">
        <f>SQRT(SUMXMY2(Q7:R7,$Q$6:$R$6))</f>
        <v>4.5759618027333318</v>
      </c>
      <c r="S25" s="24">
        <f t="shared" si="2"/>
        <v>4.3743570330952839E-5</v>
      </c>
    </row>
    <row r="26" spans="1:19" x14ac:dyDescent="0.3">
      <c r="I26" s="161">
        <v>0.2801201303712551</v>
      </c>
      <c r="J26" s="26">
        <v>0.1033847784731964</v>
      </c>
      <c r="K26" s="26">
        <v>0.45925412933099263</v>
      </c>
      <c r="L26" s="26">
        <v>0.40732829436597123</v>
      </c>
      <c r="M26" s="26">
        <v>0.52682420264050089</v>
      </c>
      <c r="N26" s="202">
        <v>-0.44392671646366938</v>
      </c>
      <c r="P26" t="s">
        <v>377</v>
      </c>
      <c r="Q26" s="26">
        <f>D16</f>
        <v>1.7320508075688772</v>
      </c>
      <c r="R26" s="26">
        <f>SQRT(SUMXMY2(Q8:R8,$Q$6:$R$6))</f>
        <v>1.6065217523058777</v>
      </c>
      <c r="S26" s="24">
        <f t="shared" si="2"/>
        <v>1.5757543715221187E-2</v>
      </c>
    </row>
    <row r="27" spans="1:19" x14ac:dyDescent="0.3">
      <c r="I27" s="253">
        <v>-0.35919083595826728</v>
      </c>
      <c r="J27" s="224">
        <v>-0.20601422747361234</v>
      </c>
      <c r="K27" s="224">
        <v>-0.59220040544263619</v>
      </c>
      <c r="L27" s="224">
        <v>0.55782801522419412</v>
      </c>
      <c r="M27" s="224">
        <v>0.39907709704382432</v>
      </c>
      <c r="N27" s="252">
        <v>-0.40751073537016763</v>
      </c>
      <c r="P27" t="s">
        <v>376</v>
      </c>
      <c r="Q27" s="26">
        <f>E16</f>
        <v>4.2426406871192848</v>
      </c>
      <c r="R27" s="26">
        <f>SQRT(SUMXMY2(Q8:R8,$Q$7:$R$7))</f>
        <v>4.1858970562257563</v>
      </c>
      <c r="S27" s="24">
        <f t="shared" si="2"/>
        <v>3.2198396469810039E-3</v>
      </c>
    </row>
    <row r="28" spans="1:19" x14ac:dyDescent="0.3">
      <c r="I28">
        <v>-5.4639926790118065E-7</v>
      </c>
      <c r="J28">
        <v>4.8345009940573937E-12</v>
      </c>
      <c r="K28">
        <v>3.1744207818744486E-15</v>
      </c>
      <c r="L28">
        <v>4.1184200106311956E-15</v>
      </c>
      <c r="M28">
        <v>2.8603911534039709E-29</v>
      </c>
      <c r="N28">
        <v>-4.5035945819551263E-30</v>
      </c>
      <c r="P28" t="s">
        <v>375</v>
      </c>
      <c r="R28" s="26"/>
      <c r="S28" s="24">
        <f>SUM(S13:S27)</f>
        <v>0.18874975533369229</v>
      </c>
    </row>
    <row r="29" spans="1:19" x14ac:dyDescent="0.3">
      <c r="I29">
        <v>5.3290705182007514E-15</v>
      </c>
      <c r="J29">
        <v>1.1102230246251565E-15</v>
      </c>
      <c r="K29">
        <v>1.7763568394002505E-15</v>
      </c>
      <c r="L29">
        <v>3.5527136788005009E-15</v>
      </c>
      <c r="M29">
        <v>8.8817841970012523E-16</v>
      </c>
      <c r="N29">
        <v>8.8817841970012523E-16</v>
      </c>
      <c r="P29" t="s">
        <v>374</v>
      </c>
      <c r="S29" s="24" cm="1">
        <f t="array" ref="S29">SQRT(S28/SUM(Q13:Q27^2))</f>
        <v>2.6103774803012649E-2</v>
      </c>
    </row>
    <row r="30" spans="1:19" x14ac:dyDescent="0.3">
      <c r="I30" t="str">
        <f ca="1">_xlfn.FORMULATEXT(I21)</f>
        <v>=eigVECTReal(I12:N17)</v>
      </c>
      <c r="Q30" s="26" t="str">
        <f ca="1">_xlfn.FORMULATEXT(Q13)</f>
        <v>=A12</v>
      </c>
      <c r="R30" s="26" t="str">
        <f ca="1">_xlfn.FORMULATEXT(R13)</f>
        <v>=SQRT(SUMXMY2(Q4:R4,$Q$3:$R$3))</v>
      </c>
    </row>
    <row r="31" spans="1:19" x14ac:dyDescent="0.3">
      <c r="S31" t="str">
        <f ca="1">_xlfn.FORMULATEXT(S13)</f>
        <v>=(Q13-R13)^2</v>
      </c>
    </row>
    <row r="32" spans="1:19" x14ac:dyDescent="0.3">
      <c r="S32" t="str">
        <f ca="1">_xlfn.FORMULATEXT(S29)</f>
        <v>=SQRT(S28/SUM(Q13:Q27^2))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69CD1-1309-4FFB-960B-178587C1ABC3}">
  <dimension ref="A1:W27"/>
  <sheetViews>
    <sheetView workbookViewId="0">
      <selection activeCell="F1" sqref="F1"/>
    </sheetView>
  </sheetViews>
  <sheetFormatPr defaultRowHeight="14.4" x14ac:dyDescent="0.3"/>
  <cols>
    <col min="8" max="8" width="8.88671875" customWidth="1"/>
    <col min="10" max="10" width="4.6640625" customWidth="1"/>
  </cols>
  <sheetData>
    <row r="1" spans="1:23" ht="16.2" x14ac:dyDescent="0.3">
      <c r="A1" t="s">
        <v>2</v>
      </c>
      <c r="B1" s="8" t="s">
        <v>14</v>
      </c>
      <c r="C1" s="8" t="s">
        <v>9</v>
      </c>
      <c r="D1" s="8" t="s">
        <v>8</v>
      </c>
      <c r="E1" s="8" t="s">
        <v>6</v>
      </c>
      <c r="I1" s="20" t="s">
        <v>411</v>
      </c>
      <c r="K1" t="s">
        <v>410</v>
      </c>
      <c r="R1" s="20" t="s">
        <v>342</v>
      </c>
    </row>
    <row r="2" spans="1:23" x14ac:dyDescent="0.3">
      <c r="A2" t="s">
        <v>31</v>
      </c>
      <c r="B2" s="8">
        <v>5</v>
      </c>
      <c r="C2" s="8">
        <v>4</v>
      </c>
      <c r="D2" s="8">
        <v>2</v>
      </c>
      <c r="E2" s="8">
        <v>1</v>
      </c>
      <c r="I2">
        <v>1</v>
      </c>
      <c r="K2" s="26" cm="1">
        <f t="array" ref="K2:P7">1/6*MMULT(I2:I7,TRANSPOSE(I2:I7))</f>
        <v>0.16666666666666666</v>
      </c>
      <c r="L2" s="26">
        <v>0.16666666666666666</v>
      </c>
      <c r="M2" s="26">
        <v>0.16666666666666666</v>
      </c>
      <c r="N2" s="26">
        <v>0.16666666666666666</v>
      </c>
      <c r="O2" s="26">
        <v>0.16666666666666666</v>
      </c>
      <c r="P2" s="26">
        <v>0.16666666666666666</v>
      </c>
      <c r="R2" s="26" cm="1">
        <f t="array" ref="R2:W7">K11:P16-K2:P7</f>
        <v>0.83333333333333337</v>
      </c>
      <c r="S2" s="26">
        <v>-0.16666666666666666</v>
      </c>
      <c r="T2" s="26">
        <v>-0.16666666666666666</v>
      </c>
      <c r="U2" s="26">
        <v>-0.16666666666666666</v>
      </c>
      <c r="V2" s="26">
        <v>-0.16666666666666666</v>
      </c>
      <c r="W2" s="26">
        <v>-0.16666666666666666</v>
      </c>
    </row>
    <row r="3" spans="1:23" x14ac:dyDescent="0.3">
      <c r="A3" t="s">
        <v>29</v>
      </c>
      <c r="B3" s="8">
        <v>4</v>
      </c>
      <c r="C3" s="8">
        <v>5</v>
      </c>
      <c r="D3" s="8">
        <v>2</v>
      </c>
      <c r="E3" s="8">
        <v>2</v>
      </c>
      <c r="I3">
        <v>1</v>
      </c>
      <c r="K3" s="26">
        <v>0.16666666666666666</v>
      </c>
      <c r="L3" s="26">
        <v>0.16666666666666666</v>
      </c>
      <c r="M3" s="26">
        <v>0.16666666666666666</v>
      </c>
      <c r="N3" s="26">
        <v>0.16666666666666666</v>
      </c>
      <c r="O3" s="26">
        <v>0.16666666666666666</v>
      </c>
      <c r="P3" s="26">
        <v>0.16666666666666666</v>
      </c>
      <c r="R3" s="26">
        <v>-0.16666666666666666</v>
      </c>
      <c r="S3" s="26">
        <v>0.83333333333333337</v>
      </c>
      <c r="T3" s="26">
        <v>-0.16666666666666666</v>
      </c>
      <c r="U3" s="26">
        <v>-0.16666666666666666</v>
      </c>
      <c r="V3" s="26">
        <v>-0.16666666666666666</v>
      </c>
      <c r="W3" s="26">
        <v>-0.16666666666666666</v>
      </c>
    </row>
    <row r="4" spans="1:23" x14ac:dyDescent="0.3">
      <c r="A4" t="s">
        <v>27</v>
      </c>
      <c r="B4" s="8">
        <v>1</v>
      </c>
      <c r="C4" s="8">
        <v>2</v>
      </c>
      <c r="D4" s="8">
        <v>4</v>
      </c>
      <c r="E4" s="8">
        <v>5</v>
      </c>
      <c r="I4">
        <v>1</v>
      </c>
      <c r="K4" s="26">
        <v>0.16666666666666666</v>
      </c>
      <c r="L4" s="26">
        <v>0.16666666666666666</v>
      </c>
      <c r="M4" s="26">
        <v>0.16666666666666666</v>
      </c>
      <c r="N4" s="26">
        <v>0.16666666666666666</v>
      </c>
      <c r="O4" s="26">
        <v>0.16666666666666666</v>
      </c>
      <c r="P4" s="26">
        <v>0.16666666666666666</v>
      </c>
      <c r="R4" s="26">
        <v>-0.16666666666666666</v>
      </c>
      <c r="S4" s="26">
        <v>-0.16666666666666666</v>
      </c>
      <c r="T4" s="26">
        <v>0.83333333333333337</v>
      </c>
      <c r="U4" s="26">
        <v>-0.16666666666666666</v>
      </c>
      <c r="V4" s="26">
        <v>-0.16666666666666666</v>
      </c>
      <c r="W4" s="26">
        <v>-0.16666666666666666</v>
      </c>
    </row>
    <row r="5" spans="1:23" x14ac:dyDescent="0.3">
      <c r="A5" t="s">
        <v>25</v>
      </c>
      <c r="B5" s="8">
        <v>2</v>
      </c>
      <c r="C5" s="8">
        <v>1</v>
      </c>
      <c r="D5" s="8">
        <v>5</v>
      </c>
      <c r="E5" s="8">
        <v>4</v>
      </c>
      <c r="I5">
        <v>1</v>
      </c>
      <c r="K5" s="26">
        <v>0.16666666666666666</v>
      </c>
      <c r="L5" s="26">
        <v>0.16666666666666666</v>
      </c>
      <c r="M5" s="26">
        <v>0.16666666666666666</v>
      </c>
      <c r="N5" s="26">
        <v>0.16666666666666666</v>
      </c>
      <c r="O5" s="26">
        <v>0.16666666666666666</v>
      </c>
      <c r="P5" s="26">
        <v>0.16666666666666666</v>
      </c>
      <c r="R5" s="26">
        <v>-0.16666666666666666</v>
      </c>
      <c r="S5" s="26">
        <v>-0.16666666666666666</v>
      </c>
      <c r="T5" s="26">
        <v>-0.16666666666666666</v>
      </c>
      <c r="U5" s="26">
        <v>0.83333333333333337</v>
      </c>
      <c r="V5" s="26">
        <v>-0.16666666666666666</v>
      </c>
      <c r="W5" s="26">
        <v>-0.16666666666666666</v>
      </c>
    </row>
    <row r="6" spans="1:23" x14ac:dyDescent="0.3">
      <c r="A6" t="s">
        <v>23</v>
      </c>
      <c r="B6" s="8">
        <v>4</v>
      </c>
      <c r="C6" s="8">
        <v>4</v>
      </c>
      <c r="D6" s="8">
        <v>3</v>
      </c>
      <c r="E6" s="8">
        <v>2</v>
      </c>
      <c r="I6">
        <v>1</v>
      </c>
      <c r="K6" s="26">
        <v>0.16666666666666666</v>
      </c>
      <c r="L6" s="26">
        <v>0.16666666666666666</v>
      </c>
      <c r="M6" s="26">
        <v>0.16666666666666666</v>
      </c>
      <c r="N6" s="26">
        <v>0.16666666666666666</v>
      </c>
      <c r="O6" s="26">
        <v>0.16666666666666666</v>
      </c>
      <c r="P6" s="26">
        <v>0.16666666666666666</v>
      </c>
      <c r="R6" s="26">
        <v>-0.16666666666666666</v>
      </c>
      <c r="S6" s="26">
        <v>-0.16666666666666666</v>
      </c>
      <c r="T6" s="26">
        <v>-0.16666666666666666</v>
      </c>
      <c r="U6" s="26">
        <v>-0.16666666666666666</v>
      </c>
      <c r="V6" s="26">
        <v>0.83333333333333337</v>
      </c>
      <c r="W6" s="26">
        <v>-0.16666666666666666</v>
      </c>
    </row>
    <row r="7" spans="1:23" x14ac:dyDescent="0.3">
      <c r="A7" t="s">
        <v>22</v>
      </c>
      <c r="B7" s="8">
        <v>2</v>
      </c>
      <c r="C7" s="8">
        <v>2</v>
      </c>
      <c r="D7" s="8">
        <v>4</v>
      </c>
      <c r="E7" s="8">
        <v>5</v>
      </c>
      <c r="I7">
        <v>1</v>
      </c>
      <c r="K7" s="26">
        <v>0.16666666666666666</v>
      </c>
      <c r="L7" s="26">
        <v>0.16666666666666666</v>
      </c>
      <c r="M7" s="26">
        <v>0.16666666666666666</v>
      </c>
      <c r="N7" s="26">
        <v>0.16666666666666666</v>
      </c>
      <c r="O7" s="26">
        <v>0.16666666666666666</v>
      </c>
      <c r="P7" s="26">
        <v>0.16666666666666666</v>
      </c>
      <c r="R7" s="26">
        <v>-0.16666666666666666</v>
      </c>
      <c r="S7" s="26">
        <v>-0.16666666666666666</v>
      </c>
      <c r="T7" s="26">
        <v>-0.16666666666666666</v>
      </c>
      <c r="U7" s="26">
        <v>-0.16666666666666666</v>
      </c>
      <c r="V7" s="26">
        <v>-0.16666666666666666</v>
      </c>
      <c r="W7" s="26">
        <v>0.83333333333333337</v>
      </c>
    </row>
    <row r="8" spans="1:23" x14ac:dyDescent="0.3">
      <c r="K8" t="str">
        <f ca="1">_xlfn.FORMULATEXT(K2)</f>
        <v>=1/6*MMULT(I2:I7,TRANSPOSE(I2:I7))</v>
      </c>
      <c r="R8" t="str">
        <f ca="1">_xlfn.FORMULATEXT(R2)</f>
        <v>=K11:P16-K2:P7</v>
      </c>
    </row>
    <row r="9" spans="1:23" x14ac:dyDescent="0.3">
      <c r="B9" t="s">
        <v>396</v>
      </c>
    </row>
    <row r="10" spans="1:23" ht="16.2" x14ac:dyDescent="0.3">
      <c r="B10" s="8">
        <v>0</v>
      </c>
      <c r="C10" s="26">
        <f>B11</f>
        <v>1.7320508075688772</v>
      </c>
      <c r="D10" s="26">
        <f>B12</f>
        <v>6.324555320336759</v>
      </c>
      <c r="E10">
        <f>B13</f>
        <v>6</v>
      </c>
      <c r="F10" s="26">
        <f>B14</f>
        <v>1.7320508075688772</v>
      </c>
      <c r="G10" s="26">
        <f>B15</f>
        <v>5.7445626465380286</v>
      </c>
      <c r="K10" t="s">
        <v>409</v>
      </c>
      <c r="R10" s="20" t="s">
        <v>360</v>
      </c>
    </row>
    <row r="11" spans="1:23" x14ac:dyDescent="0.3">
      <c r="B11" s="26">
        <f>SQRT(SUMXMY2(B3:E3,$B$2:$E$2))</f>
        <v>1.7320508075688772</v>
      </c>
      <c r="C11">
        <v>0</v>
      </c>
      <c r="D11" s="26">
        <f>C12</f>
        <v>5.5677643628300215</v>
      </c>
      <c r="E11" s="26">
        <f>C13</f>
        <v>5.7445626465380286</v>
      </c>
      <c r="F11" s="26">
        <f>C14</f>
        <v>1.4142135623730951</v>
      </c>
      <c r="G11" s="26">
        <f>C15</f>
        <v>5.0990195135927845</v>
      </c>
      <c r="K11">
        <v>1</v>
      </c>
      <c r="L11">
        <v>0</v>
      </c>
      <c r="M11">
        <v>0</v>
      </c>
      <c r="N11">
        <v>0</v>
      </c>
      <c r="O11">
        <v>0</v>
      </c>
      <c r="P11">
        <v>0</v>
      </c>
      <c r="R11" s="26" cm="1">
        <f t="array" ref="R11:W16">-1/2*MMULT(R2:W7,MMULT(B21:G26,R2:W7))</f>
        <v>11.472222222222223</v>
      </c>
      <c r="S11" s="26">
        <v>8.3055555555555571</v>
      </c>
      <c r="T11" s="26">
        <v>-9.861111111111116</v>
      </c>
      <c r="U11" s="26">
        <v>-8.027777777777775</v>
      </c>
      <c r="V11" s="26">
        <v>5.9722222222222223</v>
      </c>
      <c r="W11" s="26">
        <v>-7.8611111111111089</v>
      </c>
    </row>
    <row r="12" spans="1:23" x14ac:dyDescent="0.3">
      <c r="B12" s="26">
        <f>SQRT(SUMXMY2(B4:E4,$B$2:$E$2))</f>
        <v>6.324555320336759</v>
      </c>
      <c r="C12" s="26">
        <f>SQRT(SUMXMY2(B4:E4,$B$3:$E$3))</f>
        <v>5.5677643628300215</v>
      </c>
      <c r="D12">
        <v>0</v>
      </c>
      <c r="E12">
        <f>D13</f>
        <v>2</v>
      </c>
      <c r="F12" s="26">
        <f>D14</f>
        <v>4.7958315233127191</v>
      </c>
      <c r="G12">
        <f>D15</f>
        <v>1</v>
      </c>
      <c r="K12">
        <v>0</v>
      </c>
      <c r="L12">
        <v>1</v>
      </c>
      <c r="M12">
        <v>0</v>
      </c>
      <c r="N12">
        <v>0</v>
      </c>
      <c r="O12">
        <v>0</v>
      </c>
      <c r="P12">
        <v>0</v>
      </c>
      <c r="R12" s="26">
        <v>8.3055555555555571</v>
      </c>
      <c r="S12" s="26">
        <v>8.1388888888888893</v>
      </c>
      <c r="T12" s="26">
        <v>-7.0277777777777786</v>
      </c>
      <c r="U12" s="26">
        <v>-8.1944444444444464</v>
      </c>
      <c r="V12" s="26">
        <v>4.8055555555555536</v>
      </c>
      <c r="W12" s="26">
        <v>-6.0277777777777768</v>
      </c>
    </row>
    <row r="13" spans="1:23" x14ac:dyDescent="0.3">
      <c r="B13">
        <f>SQRT(SUMXMY2(B5:E5,$B$2:$E$2))</f>
        <v>6</v>
      </c>
      <c r="C13" s="26">
        <f>SQRT(SUMXMY2(B5:E5,$B$3:$E$3))</f>
        <v>5.7445626465380286</v>
      </c>
      <c r="D13">
        <f>SQRT(SUMXMY2(B5:E5,$B$4:$E$4))</f>
        <v>2</v>
      </c>
      <c r="E13">
        <v>0</v>
      </c>
      <c r="F13" s="26">
        <f>E14</f>
        <v>4.5825756949558398</v>
      </c>
      <c r="G13" s="26">
        <f>E15</f>
        <v>1.7320508075688772</v>
      </c>
      <c r="K13">
        <v>0</v>
      </c>
      <c r="L13">
        <v>0</v>
      </c>
      <c r="M13">
        <v>1</v>
      </c>
      <c r="N13">
        <v>0</v>
      </c>
      <c r="O13">
        <v>0</v>
      </c>
      <c r="P13">
        <v>0</v>
      </c>
      <c r="R13" s="26">
        <v>-9.861111111111116</v>
      </c>
      <c r="S13" s="26">
        <v>-7.0277777777777768</v>
      </c>
      <c r="T13" s="26">
        <v>8.8055555555555554</v>
      </c>
      <c r="U13" s="26">
        <v>6.6388888888888893</v>
      </c>
      <c r="V13" s="26">
        <v>-5.3611111111111098</v>
      </c>
      <c r="W13" s="26">
        <v>6.8055555555555554</v>
      </c>
    </row>
    <row r="14" spans="1:23" x14ac:dyDescent="0.3">
      <c r="B14" s="26">
        <f>SQRT(SUMXMY2(B6:E6,$B$2:$E$2))</f>
        <v>1.7320508075688772</v>
      </c>
      <c r="C14" s="26">
        <f>SQRT(SUMXMY2(B6:E6,$B$3:$E$3))</f>
        <v>1.4142135623730951</v>
      </c>
      <c r="D14" s="26">
        <f>SQRT(SUMXMY2(B6:E6,$B$4:$E$4))</f>
        <v>4.7958315233127191</v>
      </c>
      <c r="E14" s="26">
        <f>SQRT(SUMXMY2(B6:E6,$B$5:$E$5))</f>
        <v>4.5825756949558398</v>
      </c>
      <c r="F14">
        <v>0</v>
      </c>
      <c r="G14" s="26">
        <f>F15</f>
        <v>4.2426406871192848</v>
      </c>
      <c r="K14">
        <v>0</v>
      </c>
      <c r="L14">
        <v>0</v>
      </c>
      <c r="M14">
        <v>0</v>
      </c>
      <c r="N14">
        <v>1</v>
      </c>
      <c r="O14">
        <v>0</v>
      </c>
      <c r="P14">
        <v>0</v>
      </c>
      <c r="R14" s="26">
        <v>-8.0277777777777768</v>
      </c>
      <c r="S14" s="26">
        <v>-8.1944444444444446</v>
      </c>
      <c r="T14" s="26">
        <v>6.6388888888888902</v>
      </c>
      <c r="U14" s="26">
        <v>8.4722222222222232</v>
      </c>
      <c r="V14" s="26">
        <v>-4.5277777777777786</v>
      </c>
      <c r="W14" s="26">
        <v>5.6388888888888893</v>
      </c>
    </row>
    <row r="15" spans="1:23" x14ac:dyDescent="0.3">
      <c r="B15" s="26">
        <f>SQRT(SUMXMY2(B7:E7,$B$2:$E$2))</f>
        <v>5.7445626465380286</v>
      </c>
      <c r="C15" s="26">
        <f>SQRT(SUMXMY2(B7:E7,$B$3:$E$3))</f>
        <v>5.0990195135927845</v>
      </c>
      <c r="D15">
        <f>SQRT(SUMXMY2(B7:E7,$B$4:$E$4))</f>
        <v>1</v>
      </c>
      <c r="E15" s="26">
        <f>SQRT(SUMXMY2(B7:E7,$B$5:$E$5))</f>
        <v>1.7320508075688772</v>
      </c>
      <c r="F15" s="26">
        <f>SQRT(SUMXMY2(B7:E7,$B$6:$E$6))</f>
        <v>4.2426406871192848</v>
      </c>
      <c r="G15">
        <v>0</v>
      </c>
      <c r="K15">
        <v>0</v>
      </c>
      <c r="L15">
        <v>0</v>
      </c>
      <c r="M15">
        <v>0</v>
      </c>
      <c r="N15">
        <v>0</v>
      </c>
      <c r="O15">
        <v>1</v>
      </c>
      <c r="P15">
        <v>0</v>
      </c>
      <c r="R15" s="26">
        <v>5.9722222222222223</v>
      </c>
      <c r="S15" s="26">
        <v>4.8055555555555545</v>
      </c>
      <c r="T15" s="26">
        <v>-5.3611111111111089</v>
      </c>
      <c r="U15" s="26">
        <v>-4.5277777777777777</v>
      </c>
      <c r="V15" s="26">
        <v>3.472222222222221</v>
      </c>
      <c r="W15" s="26">
        <v>-4.3611111111111107</v>
      </c>
    </row>
    <row r="16" spans="1:23" x14ac:dyDescent="0.3">
      <c r="B16" s="26" t="str">
        <f ca="1">_xlfn.FORMULATEXT(B11)</f>
        <v>=SQRT(SUMXMY2(B3:E3,$B$2:$E$2))</v>
      </c>
      <c r="F16" t="str">
        <f ca="1">_xlfn.FORMULATEXT(F15)</f>
        <v>=SQRT(SUMXMY2(B7:E7,$B$6:$E$6))</v>
      </c>
      <c r="K16">
        <v>0</v>
      </c>
      <c r="L16">
        <v>0</v>
      </c>
      <c r="M16">
        <v>0</v>
      </c>
      <c r="N16">
        <v>0</v>
      </c>
      <c r="O16">
        <v>0</v>
      </c>
      <c r="P16">
        <v>1</v>
      </c>
      <c r="R16" s="26">
        <v>-7.8611111111111098</v>
      </c>
      <c r="S16" s="26">
        <v>-6.0277777777777786</v>
      </c>
      <c r="T16" s="26">
        <v>6.8055555555555554</v>
      </c>
      <c r="U16" s="26">
        <v>5.6388888888888893</v>
      </c>
      <c r="V16" s="26">
        <v>-4.3611111111111107</v>
      </c>
      <c r="W16" s="26">
        <v>5.8055555555555545</v>
      </c>
    </row>
    <row r="17" spans="2:18" x14ac:dyDescent="0.3">
      <c r="B17" s="26" t="str">
        <f ca="1">_xlfn.FORMULATEXT(B12)</f>
        <v>=SQRT(SUMXMY2(B4:E4,$B$2:$E$2))</v>
      </c>
      <c r="R17" t="str">
        <f ca="1">_xlfn.FORMULATEXT(R11)</f>
        <v>=-1/2*MMULT(R2:W7,MMULT(B21:G26,R2:W7))</v>
      </c>
    </row>
    <row r="18" spans="2:18" x14ac:dyDescent="0.3">
      <c r="B18" s="26" t="str">
        <f ca="1">_xlfn.FORMULATEXT(B13)</f>
        <v>=SQRT(SUMXMY2(B5:E5,$B$2:$E$2))</v>
      </c>
    </row>
    <row r="20" spans="2:18" ht="16.2" x14ac:dyDescent="0.3">
      <c r="B20" t="s">
        <v>351</v>
      </c>
    </row>
    <row r="21" spans="2:18" x14ac:dyDescent="0.3">
      <c r="B21" cm="1">
        <f t="array" ref="B21:G26">(B10:G15)^2</f>
        <v>0</v>
      </c>
      <c r="C21">
        <v>2.9999999999999996</v>
      </c>
      <c r="D21">
        <v>40.000000000000007</v>
      </c>
      <c r="E21">
        <v>36</v>
      </c>
      <c r="F21">
        <v>2.9999999999999996</v>
      </c>
      <c r="G21">
        <v>33</v>
      </c>
    </row>
    <row r="22" spans="2:18" x14ac:dyDescent="0.3">
      <c r="B22">
        <v>2.9999999999999996</v>
      </c>
      <c r="C22">
        <v>0</v>
      </c>
      <c r="D22">
        <v>30.999999999999996</v>
      </c>
      <c r="E22">
        <v>33</v>
      </c>
      <c r="F22">
        <v>2.0000000000000004</v>
      </c>
      <c r="G22">
        <v>25.999999999999996</v>
      </c>
    </row>
    <row r="23" spans="2:18" x14ac:dyDescent="0.3">
      <c r="B23">
        <v>40.000000000000007</v>
      </c>
      <c r="C23">
        <v>30.999999999999996</v>
      </c>
      <c r="D23">
        <v>0</v>
      </c>
      <c r="E23">
        <v>4</v>
      </c>
      <c r="F23">
        <v>22.999999999999996</v>
      </c>
      <c r="G23">
        <v>1</v>
      </c>
    </row>
    <row r="24" spans="2:18" x14ac:dyDescent="0.3">
      <c r="B24">
        <v>36</v>
      </c>
      <c r="C24">
        <v>33</v>
      </c>
      <c r="D24">
        <v>4</v>
      </c>
      <c r="E24">
        <v>0</v>
      </c>
      <c r="F24">
        <v>21</v>
      </c>
      <c r="G24">
        <v>2.9999999999999996</v>
      </c>
    </row>
    <row r="25" spans="2:18" x14ac:dyDescent="0.3">
      <c r="B25">
        <v>2.9999999999999996</v>
      </c>
      <c r="C25">
        <v>2.0000000000000004</v>
      </c>
      <c r="D25">
        <v>22.999999999999996</v>
      </c>
      <c r="E25">
        <v>21</v>
      </c>
      <c r="F25">
        <v>0</v>
      </c>
      <c r="G25">
        <v>17.999999999999996</v>
      </c>
    </row>
    <row r="26" spans="2:18" x14ac:dyDescent="0.3">
      <c r="B26">
        <v>33</v>
      </c>
      <c r="C26">
        <v>25.999999999999996</v>
      </c>
      <c r="D26">
        <v>1</v>
      </c>
      <c r="E26">
        <v>2.9999999999999996</v>
      </c>
      <c r="F26">
        <v>17.999999999999996</v>
      </c>
      <c r="G26">
        <v>0</v>
      </c>
    </row>
    <row r="27" spans="2:18" x14ac:dyDescent="0.3">
      <c r="B27" t="str">
        <f ca="1">_xlfn.FORMULATEXT(B21)</f>
        <v>=(B10:G15)^2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9D401-070E-43A9-A87C-D4D99537C84B}">
  <dimension ref="A1:AA28"/>
  <sheetViews>
    <sheetView workbookViewId="0">
      <selection activeCell="AQ30" sqref="AQ30"/>
    </sheetView>
  </sheetViews>
  <sheetFormatPr defaultRowHeight="14.4" x14ac:dyDescent="0.3"/>
  <cols>
    <col min="6" max="6" width="3.88671875" customWidth="1"/>
    <col min="12" max="12" width="9.6640625" customWidth="1"/>
    <col min="13" max="13" width="4.5546875" customWidth="1"/>
    <col min="14" max="17" width="11" customWidth="1"/>
    <col min="18" max="18" width="12" customWidth="1"/>
    <col min="19" max="20" width="7.109375" customWidth="1"/>
  </cols>
  <sheetData>
    <row r="1" spans="1:27" x14ac:dyDescent="0.3">
      <c r="B1" s="8" t="s">
        <v>14</v>
      </c>
      <c r="C1" s="8" t="s">
        <v>9</v>
      </c>
      <c r="D1" s="8" t="s">
        <v>8</v>
      </c>
      <c r="E1" s="8" t="s">
        <v>6</v>
      </c>
      <c r="G1" s="344" t="s">
        <v>48</v>
      </c>
      <c r="H1" s="344"/>
      <c r="I1" s="344"/>
      <c r="J1" s="344"/>
      <c r="N1" s="8" t="s">
        <v>14</v>
      </c>
      <c r="O1" s="8" t="s">
        <v>9</v>
      </c>
      <c r="P1" s="8" t="s">
        <v>8</v>
      </c>
      <c r="Q1" s="8" t="s">
        <v>6</v>
      </c>
      <c r="V1" t="s">
        <v>47</v>
      </c>
      <c r="X1" t="s">
        <v>46</v>
      </c>
    </row>
    <row r="2" spans="1:27" x14ac:dyDescent="0.3">
      <c r="A2" t="s">
        <v>31</v>
      </c>
      <c r="B2" s="8">
        <v>5</v>
      </c>
      <c r="C2" s="8">
        <v>4</v>
      </c>
      <c r="D2" s="8">
        <v>2</v>
      </c>
      <c r="E2" s="8">
        <v>1</v>
      </c>
      <c r="G2" s="25" cm="1">
        <f t="array" ref="G2:J5">1/(COUNT(B12:B17)-1)*MMULT(TRANSPOSE(B12:E17),B12:E17)</f>
        <v>2.4000000000000004</v>
      </c>
      <c r="H2" s="25">
        <v>2</v>
      </c>
      <c r="I2" s="25">
        <v>-1.6</v>
      </c>
      <c r="J2" s="25">
        <v>-2.6000000000000005</v>
      </c>
      <c r="M2" s="3" t="s">
        <v>13</v>
      </c>
      <c r="N2" s="38" cm="1">
        <f t="array" ref="N2:Q8">[2]!eigVECTSym(G2:J5)</f>
        <v>8.4148141067871158</v>
      </c>
      <c r="O2" s="37">
        <v>0.67959958156260658</v>
      </c>
      <c r="P2" s="37">
        <v>8.5424379898126374E-2</v>
      </c>
      <c r="Q2" s="36">
        <v>5.3495265085481504E-2</v>
      </c>
      <c r="R2" t="s">
        <v>45</v>
      </c>
      <c r="V2" s="26">
        <f>N2</f>
        <v>8.4148141067871158</v>
      </c>
      <c r="W2" s="26">
        <f>V2/$V$6</f>
        <v>0.91135170831629442</v>
      </c>
      <c r="X2" s="26">
        <f>W2</f>
        <v>0.91135170831629442</v>
      </c>
    </row>
    <row r="3" spans="1:27" x14ac:dyDescent="0.3">
      <c r="A3" t="s">
        <v>29</v>
      </c>
      <c r="B3" s="8">
        <v>4</v>
      </c>
      <c r="C3" s="8">
        <v>5</v>
      </c>
      <c r="D3" s="8">
        <v>2</v>
      </c>
      <c r="E3" s="8">
        <v>2</v>
      </c>
      <c r="G3" s="25">
        <v>2</v>
      </c>
      <c r="H3" s="25">
        <v>2.4000000000000004</v>
      </c>
      <c r="I3" s="25">
        <v>-1.7999999999999998</v>
      </c>
      <c r="J3" s="25">
        <v>-2.2000000000000002</v>
      </c>
      <c r="M3" s="2" t="s">
        <v>15</v>
      </c>
      <c r="N3" s="35">
        <v>-0.51810244509786019</v>
      </c>
      <c r="O3" s="34">
        <v>-0.38947147186111097</v>
      </c>
      <c r="P3" s="34">
        <v>-0.47163134874514734</v>
      </c>
      <c r="Q3" s="33">
        <v>-0.59786762738151422</v>
      </c>
      <c r="R3" t="s">
        <v>44</v>
      </c>
      <c r="V3" s="26">
        <f>O2</f>
        <v>0.67959958156260658</v>
      </c>
      <c r="W3" s="26">
        <f>V3/$V$6</f>
        <v>7.3602842768513366E-2</v>
      </c>
      <c r="X3" s="26">
        <f>W3+X2</f>
        <v>0.98495455108480778</v>
      </c>
    </row>
    <row r="4" spans="1:27" x14ac:dyDescent="0.3">
      <c r="A4" t="s">
        <v>27</v>
      </c>
      <c r="B4" s="8">
        <v>1</v>
      </c>
      <c r="C4" s="8">
        <v>2</v>
      </c>
      <c r="D4" s="8">
        <v>4</v>
      </c>
      <c r="E4" s="8">
        <v>5</v>
      </c>
      <c r="G4" s="25">
        <v>-1.6</v>
      </c>
      <c r="H4" s="25">
        <v>-1.7999999999999998</v>
      </c>
      <c r="I4" s="25">
        <v>1.466666666666667</v>
      </c>
      <c r="J4" s="25">
        <v>1.7333333333333336</v>
      </c>
      <c r="M4" s="2"/>
      <c r="N4" s="32">
        <v>-0.49925617556474239</v>
      </c>
      <c r="O4" s="25">
        <v>0.63869476492034749</v>
      </c>
      <c r="P4" s="25">
        <v>0.46763672711039106</v>
      </c>
      <c r="Q4" s="31">
        <v>-0.35231826504069658</v>
      </c>
      <c r="V4" s="26">
        <f>P2</f>
        <v>8.5424379898126374E-2</v>
      </c>
      <c r="W4" s="26">
        <f>V4/$V$6</f>
        <v>9.2517378951039418E-3</v>
      </c>
      <c r="X4" s="26">
        <f>W4+X3</f>
        <v>0.9942062889799117</v>
      </c>
    </row>
    <row r="5" spans="1:27" x14ac:dyDescent="0.3">
      <c r="A5" t="s">
        <v>25</v>
      </c>
      <c r="B5" s="8">
        <v>2</v>
      </c>
      <c r="C5" s="8">
        <v>1</v>
      </c>
      <c r="D5" s="8">
        <v>5</v>
      </c>
      <c r="E5" s="8">
        <v>4</v>
      </c>
      <c r="G5" s="25">
        <v>-2.6000000000000005</v>
      </c>
      <c r="H5" s="25">
        <v>-2.2000000000000002</v>
      </c>
      <c r="I5" s="25">
        <v>1.7333333333333336</v>
      </c>
      <c r="J5" s="25">
        <v>2.9666666666666668</v>
      </c>
      <c r="M5" s="2"/>
      <c r="N5" s="32">
        <v>0.39170923774579081</v>
      </c>
      <c r="O5" s="25">
        <v>-0.43491168123945018</v>
      </c>
      <c r="P5" s="25">
        <v>0.6083474054711977</v>
      </c>
      <c r="Q5" s="31">
        <v>-0.53603091034243477</v>
      </c>
      <c r="V5" s="26">
        <f>Q2</f>
        <v>5.3495265085481504E-2</v>
      </c>
      <c r="W5" s="26">
        <f>V5/$V$6</f>
        <v>5.7937110200882514E-3</v>
      </c>
      <c r="X5">
        <f>W5+X4</f>
        <v>1</v>
      </c>
    </row>
    <row r="6" spans="1:27" x14ac:dyDescent="0.3">
      <c r="A6" t="s">
        <v>23</v>
      </c>
      <c r="B6" s="8">
        <v>4</v>
      </c>
      <c r="C6" s="8">
        <v>4</v>
      </c>
      <c r="D6" s="8">
        <v>3</v>
      </c>
      <c r="E6" s="8">
        <v>2</v>
      </c>
      <c r="G6" t="str">
        <f ca="1">_xlfn.FORMULATEXT(G2)</f>
        <v>=1/(COUNT(B12:B17)-1)*MMULT(TRANSPOSE(B12:E17),B12:E17)</v>
      </c>
      <c r="M6" s="2"/>
      <c r="N6" s="30">
        <v>0.57347798615875178</v>
      </c>
      <c r="O6" s="29">
        <v>0.50123128333251243</v>
      </c>
      <c r="P6" s="29">
        <v>-0.43450339077477551</v>
      </c>
      <c r="Q6" s="28">
        <v>-0.48072549693704936</v>
      </c>
      <c r="U6" t="s">
        <v>36</v>
      </c>
      <c r="V6" s="26">
        <f>SUM(V2:V5)</f>
        <v>9.2333333333333307</v>
      </c>
      <c r="W6">
        <f>SUM(W2:W5)</f>
        <v>1</v>
      </c>
    </row>
    <row r="7" spans="1:27" x14ac:dyDescent="0.3">
      <c r="A7" t="s">
        <v>22</v>
      </c>
      <c r="B7" s="8">
        <v>2</v>
      </c>
      <c r="C7" s="8">
        <v>2</v>
      </c>
      <c r="D7" s="8">
        <v>4</v>
      </c>
      <c r="E7" s="8">
        <v>5</v>
      </c>
      <c r="N7" s="25">
        <v>-1.9669986558131636E-12</v>
      </c>
      <c r="O7" s="25">
        <v>-4.6024369925868885E-16</v>
      </c>
      <c r="P7" s="25">
        <v>-5.072098858881694E-18</v>
      </c>
      <c r="Q7" s="25">
        <v>1.0167183059207636E-16</v>
      </c>
      <c r="V7" t="str">
        <f ca="1">_xlfn.FORMULATEXT(V6)</f>
        <v>=SUM(V2:V5)</v>
      </c>
    </row>
    <row r="8" spans="1:27" x14ac:dyDescent="0.3">
      <c r="A8" t="s">
        <v>40</v>
      </c>
      <c r="B8" s="27">
        <f>AVERAGE(B2:B7)</f>
        <v>3</v>
      </c>
      <c r="C8" s="8">
        <f>AVERAGE(C2:C7)</f>
        <v>3</v>
      </c>
      <c r="D8" s="27">
        <f>AVERAGE(D2:D7)</f>
        <v>3.3333333333333335</v>
      </c>
      <c r="E8" s="27">
        <f>AVERAGE(E2:E7)</f>
        <v>3.1666666666666665</v>
      </c>
      <c r="N8" s="25">
        <v>6.6613381477509392E-15</v>
      </c>
      <c r="O8" s="25">
        <v>4.4408920985006262E-16</v>
      </c>
      <c r="P8" s="25">
        <v>4.4408920985006262E-16</v>
      </c>
      <c r="Q8" s="25">
        <v>1.3322676295501878E-15</v>
      </c>
    </row>
    <row r="9" spans="1:27" x14ac:dyDescent="0.3">
      <c r="B9" s="21" t="str">
        <f ca="1">_xlfn.FORMULATEXT(B8)</f>
        <v>=AVERAGE(B2:B7)</v>
      </c>
      <c r="D9" s="21"/>
      <c r="E9" s="21"/>
      <c r="N9" t="str">
        <f ca="1">_xlfn.FORMULATEXT(N2)</f>
        <v>=eigVECTSym(G2:J5)</v>
      </c>
    </row>
    <row r="10" spans="1:27" x14ac:dyDescent="0.3">
      <c r="N10" t="s">
        <v>30</v>
      </c>
      <c r="R10" t="s">
        <v>43</v>
      </c>
    </row>
    <row r="11" spans="1:27" x14ac:dyDescent="0.3">
      <c r="A11" t="s">
        <v>42</v>
      </c>
      <c r="H11" s="26"/>
      <c r="I11" s="26"/>
      <c r="M11" s="2" t="s">
        <v>31</v>
      </c>
      <c r="N11" s="25" cm="1">
        <f t="array" ref="N11:N16">B12:B17*N3</f>
        <v>-1.0362048901957204</v>
      </c>
      <c r="O11" s="25" cm="1">
        <f t="array" ref="O11:O16">C12:C17*N4</f>
        <v>-0.49925617556474239</v>
      </c>
      <c r="P11" s="25" cm="1">
        <f t="array" ref="P11:P16">D12:D17*N5</f>
        <v>-0.52227898366105452</v>
      </c>
      <c r="Q11" s="25" cm="1">
        <f t="array" ref="Q11:Q16">E12:E17*N6</f>
        <v>-1.2425356366772955</v>
      </c>
      <c r="R11" s="25">
        <f t="shared" ref="R11:R16" si="0">SUM(N11:Q11)</f>
        <v>-3.3002756860988129</v>
      </c>
      <c r="S11" t="str">
        <f ca="1">_xlfn.FORMULATEXT(R11)</f>
        <v>=SUM(N11:Q11)</v>
      </c>
    </row>
    <row r="12" spans="1:27" x14ac:dyDescent="0.3">
      <c r="B12" s="27" cm="1">
        <f t="array" ref="B12:B17">B2:B7-AVERAGE(B$2:B$7)</f>
        <v>2</v>
      </c>
      <c r="C12" s="27" cm="1">
        <f t="array" ref="C12:C17">C2:C7-AVERAGE(C$2:C$7)</f>
        <v>1</v>
      </c>
      <c r="D12" s="27" cm="1">
        <f t="array" ref="D12:D17">D2:D7-AVERAGE(D$2:D$7)</f>
        <v>-1.3333333333333335</v>
      </c>
      <c r="E12" s="27" cm="1">
        <f t="array" ref="E12:E17">E2:E7-AVERAGE(E$2:E$7)</f>
        <v>-2.1666666666666665</v>
      </c>
      <c r="H12" s="26"/>
      <c r="I12" s="26"/>
      <c r="M12" s="2" t="s">
        <v>29</v>
      </c>
      <c r="N12" s="25">
        <v>-0.51810244509786019</v>
      </c>
      <c r="O12" s="25">
        <v>-0.99851235112948478</v>
      </c>
      <c r="P12" s="25">
        <v>-0.52227898366105452</v>
      </c>
      <c r="Q12" s="25">
        <v>-0.66905765051854371</v>
      </c>
      <c r="R12" s="25">
        <f t="shared" si="0"/>
        <v>-2.7079514304069434</v>
      </c>
    </row>
    <row r="13" spans="1:27" x14ac:dyDescent="0.3">
      <c r="B13" s="27">
        <v>1</v>
      </c>
      <c r="C13" s="27">
        <v>2</v>
      </c>
      <c r="D13" s="27">
        <v>-1.3333333333333335</v>
      </c>
      <c r="E13" s="27">
        <v>-1.1666666666666665</v>
      </c>
      <c r="H13" s="26"/>
      <c r="I13" s="26"/>
      <c r="M13" s="2" t="s">
        <v>27</v>
      </c>
      <c r="N13" s="25">
        <v>1.0362048901957204</v>
      </c>
      <c r="O13" s="25">
        <v>0.49925617556474239</v>
      </c>
      <c r="P13" s="25">
        <v>0.26113949183052715</v>
      </c>
      <c r="Q13" s="25">
        <v>1.0513763079577116</v>
      </c>
      <c r="R13" s="25">
        <f t="shared" si="0"/>
        <v>2.8479768655487017</v>
      </c>
      <c r="U13" t="s">
        <v>41</v>
      </c>
      <c r="Z13" t="str">
        <f t="shared" ref="Z13:Z19" si="1">R10</f>
        <v>PC1 score</v>
      </c>
      <c r="AA13" t="str">
        <f t="shared" ref="AA13:AA19" si="2">R20</f>
        <v>PC2 score</v>
      </c>
    </row>
    <row r="14" spans="1:27" x14ac:dyDescent="0.3">
      <c r="B14" s="27">
        <v>-2</v>
      </c>
      <c r="C14" s="27">
        <v>-1</v>
      </c>
      <c r="D14" s="27">
        <v>0.66666666666666652</v>
      </c>
      <c r="E14" s="27">
        <v>1.8333333333333335</v>
      </c>
      <c r="H14" s="26"/>
      <c r="I14" s="26"/>
      <c r="M14" s="2" t="s">
        <v>25</v>
      </c>
      <c r="N14" s="25">
        <v>0.51810244509786019</v>
      </c>
      <c r="O14" s="25">
        <v>0.99851235112948478</v>
      </c>
      <c r="P14" s="25">
        <v>0.6528487295763179</v>
      </c>
      <c r="Q14" s="25">
        <v>0.47789832179895991</v>
      </c>
      <c r="R14" s="25">
        <f t="shared" si="0"/>
        <v>2.6473618476026233</v>
      </c>
      <c r="U14" s="8" t="s">
        <v>14</v>
      </c>
      <c r="V14" s="8" t="s">
        <v>9</v>
      </c>
      <c r="W14" s="8" t="s">
        <v>8</v>
      </c>
      <c r="X14" s="8" t="s">
        <v>6</v>
      </c>
      <c r="Z14" s="21">
        <f t="shared" si="1"/>
        <v>-3.3002756860988129</v>
      </c>
      <c r="AA14" s="21">
        <f t="shared" si="2"/>
        <v>-0.64636705103638437</v>
      </c>
    </row>
    <row r="15" spans="1:27" x14ac:dyDescent="0.3">
      <c r="B15" s="27">
        <v>-1</v>
      </c>
      <c r="C15" s="27">
        <v>-2</v>
      </c>
      <c r="D15" s="27">
        <v>1.6666666666666665</v>
      </c>
      <c r="E15" s="27">
        <v>0.83333333333333348</v>
      </c>
      <c r="H15" s="26"/>
      <c r="I15" s="26"/>
      <c r="M15" s="2" t="s">
        <v>23</v>
      </c>
      <c r="N15" s="25">
        <v>-0.51810244509786019</v>
      </c>
      <c r="O15" s="25">
        <v>-0.49925617556474239</v>
      </c>
      <c r="P15" s="25">
        <v>-0.13056974591526366</v>
      </c>
      <c r="Q15" s="25">
        <v>-0.66905765051854371</v>
      </c>
      <c r="R15" s="25">
        <f t="shared" si="0"/>
        <v>-1.8169860170964101</v>
      </c>
      <c r="U15" s="25">
        <f>N3</f>
        <v>-0.51810244509786019</v>
      </c>
      <c r="V15" s="25">
        <f>N4</f>
        <v>-0.49925617556474239</v>
      </c>
      <c r="W15" s="25">
        <f>N5</f>
        <v>0.39170923774579081</v>
      </c>
      <c r="X15" s="25">
        <f>N6</f>
        <v>0.57347798615875178</v>
      </c>
      <c r="Z15" s="21">
        <f t="shared" si="1"/>
        <v>-2.7079514304069434</v>
      </c>
      <c r="AA15" s="21">
        <f t="shared" si="2"/>
        <v>0.88303046907758664</v>
      </c>
    </row>
    <row r="16" spans="1:27" x14ac:dyDescent="0.3">
      <c r="B16" s="27">
        <v>1</v>
      </c>
      <c r="C16" s="27">
        <v>1</v>
      </c>
      <c r="D16" s="27">
        <v>-0.33333333333333348</v>
      </c>
      <c r="E16" s="27">
        <v>-1.1666666666666665</v>
      </c>
      <c r="H16" s="26"/>
      <c r="I16" s="26"/>
      <c r="M16" s="2" t="s">
        <v>22</v>
      </c>
      <c r="N16" s="25">
        <v>0.51810244509786019</v>
      </c>
      <c r="O16" s="25">
        <v>0.49925617556474239</v>
      </c>
      <c r="P16" s="25">
        <v>0.26113949183052715</v>
      </c>
      <c r="Q16" s="25">
        <v>1.0513763079577116</v>
      </c>
      <c r="R16" s="25">
        <f t="shared" si="0"/>
        <v>2.3298744204508415</v>
      </c>
      <c r="Z16" s="21">
        <f t="shared" si="1"/>
        <v>2.8479768655487017</v>
      </c>
      <c r="AA16" s="21">
        <f t="shared" si="2"/>
        <v>0.76923107741851393</v>
      </c>
    </row>
    <row r="17" spans="1:27" x14ac:dyDescent="0.3">
      <c r="B17" s="27">
        <v>-1</v>
      </c>
      <c r="C17" s="27">
        <v>-1</v>
      </c>
      <c r="D17" s="27">
        <v>0.66666666666666652</v>
      </c>
      <c r="E17" s="27">
        <v>1.8333333333333335</v>
      </c>
      <c r="H17" s="26"/>
      <c r="I17" s="26"/>
      <c r="M17" s="2" t="s">
        <v>36</v>
      </c>
      <c r="N17" s="8">
        <f>SUM(N11:N16)</f>
        <v>0</v>
      </c>
      <c r="O17" s="8">
        <f>SUM(O11:O16)</f>
        <v>0</v>
      </c>
      <c r="P17" s="8">
        <f>SUM(P11:P16)</f>
        <v>-4.4408920985006262E-16</v>
      </c>
      <c r="Q17" s="8">
        <f>SUM(Q11:Q16)</f>
        <v>0</v>
      </c>
      <c r="Z17" s="21">
        <f t="shared" si="1"/>
        <v>2.6473618476026233</v>
      </c>
      <c r="AA17" s="21">
        <f t="shared" si="2"/>
        <v>-1.1950781239349073</v>
      </c>
    </row>
    <row r="18" spans="1:27" x14ac:dyDescent="0.3">
      <c r="B18" s="21" t="str">
        <f ca="1">_xlfn.FORMULATEXT(B12)</f>
        <v>=B2:B7-AVERAGE(B$2:B$7)</v>
      </c>
      <c r="D18" s="21"/>
      <c r="E18" s="21"/>
      <c r="M18" s="2"/>
      <c r="N18" s="24" t="str">
        <f ca="1">_xlfn.FORMULATEXT(N11)</f>
        <v>=B12:B17*N3</v>
      </c>
      <c r="O18" s="24"/>
      <c r="P18" s="24" t="str">
        <f ca="1">_xlfn.FORMULATEXT(P11)</f>
        <v>=D12:D17*N5</v>
      </c>
      <c r="Q18" s="24"/>
      <c r="Z18" s="21">
        <f t="shared" si="1"/>
        <v>-1.8169860170964101</v>
      </c>
      <c r="AA18" s="21">
        <f t="shared" si="2"/>
        <v>-0.19057597708221108</v>
      </c>
    </row>
    <row r="19" spans="1:27" x14ac:dyDescent="0.3">
      <c r="A19" t="s">
        <v>40</v>
      </c>
      <c r="B19" s="8">
        <f ca="1">AVERAGE(B12:B18)</f>
        <v>0</v>
      </c>
      <c r="C19" s="8">
        <f>AVERAGE(C12:C17)</f>
        <v>0</v>
      </c>
      <c r="D19" s="8">
        <f>AVERAGE(D12:D17)</f>
        <v>-1.4802973661668753E-16</v>
      </c>
      <c r="E19" s="8">
        <f>AVERAGE(E12:E17)</f>
        <v>0</v>
      </c>
      <c r="Z19" s="21">
        <f t="shared" si="1"/>
        <v>2.3298744204508415</v>
      </c>
      <c r="AA19" s="21">
        <f t="shared" si="2"/>
        <v>0.37975960555740296</v>
      </c>
    </row>
    <row r="20" spans="1:27" x14ac:dyDescent="0.3">
      <c r="N20" t="s">
        <v>28</v>
      </c>
      <c r="R20" t="s">
        <v>39</v>
      </c>
    </row>
    <row r="21" spans="1:27" x14ac:dyDescent="0.3">
      <c r="H21" s="26"/>
      <c r="I21" s="26"/>
      <c r="M21" s="2" t="s">
        <v>31</v>
      </c>
      <c r="N21" s="25" cm="1">
        <f t="array" ref="N21:N26">B12:B17*O3</f>
        <v>-0.77894294372222195</v>
      </c>
      <c r="O21" s="25" cm="1">
        <f t="array" ref="O21:O26">C12:C17*O4</f>
        <v>0.63869476492034749</v>
      </c>
      <c r="P21" s="25" cm="1">
        <f t="array" ref="P21:P26">D12:D17*O5</f>
        <v>0.57988224165260027</v>
      </c>
      <c r="Q21" s="25" cm="1">
        <f t="array" ref="Q21:Q26">E12:E17*O6</f>
        <v>-1.0860011138871102</v>
      </c>
      <c r="R21" s="25">
        <f t="shared" ref="R21:R26" si="3">SUM(N21:Q21)</f>
        <v>-0.64636705103638437</v>
      </c>
      <c r="S21" t="str">
        <f ca="1">_xlfn.FORMULATEXT(R21)</f>
        <v>=SUM(N21:Q21)</v>
      </c>
    </row>
    <row r="22" spans="1:27" x14ac:dyDescent="0.3">
      <c r="H22" s="26"/>
      <c r="I22" s="26"/>
      <c r="M22" s="2" t="s">
        <v>29</v>
      </c>
      <c r="N22" s="25">
        <v>-0.38947147186111097</v>
      </c>
      <c r="O22" s="25">
        <v>1.277389529840695</v>
      </c>
      <c r="P22" s="25">
        <v>0.57988224165260027</v>
      </c>
      <c r="Q22" s="25">
        <v>-0.58476983055459775</v>
      </c>
      <c r="R22" s="25">
        <f t="shared" si="3"/>
        <v>0.88303046907758664</v>
      </c>
    </row>
    <row r="23" spans="1:27" x14ac:dyDescent="0.3">
      <c r="H23" s="26"/>
      <c r="I23" s="26"/>
      <c r="M23" s="2" t="s">
        <v>27</v>
      </c>
      <c r="N23" s="25">
        <v>0.77894294372222195</v>
      </c>
      <c r="O23" s="25">
        <v>-0.63869476492034749</v>
      </c>
      <c r="P23" s="25">
        <v>-0.28994112082630008</v>
      </c>
      <c r="Q23" s="25">
        <v>0.91892401944293955</v>
      </c>
      <c r="R23" s="25">
        <f t="shared" si="3"/>
        <v>0.76923107741851393</v>
      </c>
      <c r="U23" t="s">
        <v>38</v>
      </c>
    </row>
    <row r="24" spans="1:27" x14ac:dyDescent="0.3">
      <c r="H24" s="26"/>
      <c r="I24" s="26"/>
      <c r="M24" s="2" t="s">
        <v>25</v>
      </c>
      <c r="N24" s="25">
        <v>0.38947147186111097</v>
      </c>
      <c r="O24" s="25">
        <v>-1.277389529840695</v>
      </c>
      <c r="P24" s="25">
        <v>-0.7248528020657502</v>
      </c>
      <c r="Q24" s="25">
        <v>0.41769273611042712</v>
      </c>
      <c r="R24" s="25">
        <f t="shared" si="3"/>
        <v>-1.1950781239349073</v>
      </c>
      <c r="U24" s="8" t="s">
        <v>14</v>
      </c>
      <c r="V24" s="8" t="s">
        <v>9</v>
      </c>
      <c r="W24" s="8" t="s">
        <v>8</v>
      </c>
      <c r="X24" s="8" t="s">
        <v>6</v>
      </c>
    </row>
    <row r="25" spans="1:27" x14ac:dyDescent="0.3">
      <c r="H25" s="26"/>
      <c r="I25" s="26"/>
      <c r="M25" s="2" t="s">
        <v>23</v>
      </c>
      <c r="N25" s="25">
        <v>-0.38947147186111097</v>
      </c>
      <c r="O25" s="25">
        <v>0.63869476492034749</v>
      </c>
      <c r="P25" s="25">
        <v>0.14497056041315012</v>
      </c>
      <c r="Q25" s="25">
        <v>-0.58476983055459775</v>
      </c>
      <c r="R25" s="25">
        <f t="shared" si="3"/>
        <v>-0.19057597708221108</v>
      </c>
      <c r="U25" s="25">
        <f>O3</f>
        <v>-0.38947147186111097</v>
      </c>
      <c r="V25" s="25">
        <f>O4</f>
        <v>0.63869476492034749</v>
      </c>
      <c r="W25" s="25">
        <f>O5</f>
        <v>-0.43491168123945018</v>
      </c>
      <c r="X25" s="25">
        <f>O6</f>
        <v>0.50123128333251243</v>
      </c>
    </row>
    <row r="26" spans="1:27" x14ac:dyDescent="0.3">
      <c r="H26" s="26"/>
      <c r="I26" s="26"/>
      <c r="M26" s="2" t="s">
        <v>22</v>
      </c>
      <c r="N26" s="25">
        <v>0.38947147186111097</v>
      </c>
      <c r="O26" s="25">
        <v>-0.63869476492034749</v>
      </c>
      <c r="P26" s="25">
        <v>-0.28994112082630008</v>
      </c>
      <c r="Q26" s="25">
        <v>0.91892401944293955</v>
      </c>
      <c r="R26" s="25">
        <f t="shared" si="3"/>
        <v>0.37975960555740296</v>
      </c>
    </row>
    <row r="27" spans="1:27" x14ac:dyDescent="0.3">
      <c r="M27" s="2" t="s">
        <v>36</v>
      </c>
      <c r="N27" s="8">
        <f>SUM(N21:N26)</f>
        <v>0</v>
      </c>
      <c r="O27" s="8">
        <f>SUM(O21:O26)</f>
        <v>0</v>
      </c>
      <c r="P27" s="8">
        <f>SUM(P21:P26)</f>
        <v>0</v>
      </c>
      <c r="Q27" s="8">
        <f>SUM(Q21:Q26)</f>
        <v>0</v>
      </c>
      <c r="R27" s="8"/>
    </row>
    <row r="28" spans="1:27" x14ac:dyDescent="0.3">
      <c r="N28" s="24" t="str">
        <f ca="1">_xlfn.FORMULATEXT(N21)</f>
        <v>=B12:B17*O3</v>
      </c>
      <c r="O28" s="24"/>
      <c r="P28" s="24" t="str">
        <f ca="1">_xlfn.FORMULATEXT(P21)</f>
        <v>=D12:D17*O5</v>
      </c>
      <c r="Q28" s="24"/>
    </row>
  </sheetData>
  <mergeCells count="1">
    <mergeCell ref="G1:J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D51CC-5836-49F0-AE8F-C34D9CA38ACF}">
  <dimension ref="A1:AF32"/>
  <sheetViews>
    <sheetView topLeftCell="G1" workbookViewId="0">
      <selection activeCell="G1" sqref="G1"/>
    </sheetView>
  </sheetViews>
  <sheetFormatPr defaultRowHeight="14.4" x14ac:dyDescent="0.3"/>
  <cols>
    <col min="1" max="1" width="6.6640625" customWidth="1"/>
    <col min="5" max="5" width="6" customWidth="1"/>
    <col min="6" max="6" width="7.5546875" customWidth="1"/>
    <col min="12" max="12" width="5.109375" customWidth="1"/>
    <col min="17" max="17" width="3.6640625" customWidth="1"/>
    <col min="21" max="21" width="6.5546875" customWidth="1"/>
    <col min="26" max="26" width="10" customWidth="1"/>
    <col min="27" max="27" width="9.5546875" bestFit="1" customWidth="1"/>
    <col min="29" max="29" width="5.88671875" customWidth="1"/>
    <col min="31" max="31" width="9.44140625" customWidth="1"/>
    <col min="33" max="33" width="10.33203125" customWidth="1"/>
  </cols>
  <sheetData>
    <row r="1" spans="1:32" x14ac:dyDescent="0.3">
      <c r="C1" t="s">
        <v>436</v>
      </c>
      <c r="H1" t="s">
        <v>435</v>
      </c>
      <c r="K1" t="s">
        <v>434</v>
      </c>
      <c r="M1" t="s">
        <v>433</v>
      </c>
      <c r="R1" t="s">
        <v>432</v>
      </c>
      <c r="V1" t="s">
        <v>431</v>
      </c>
      <c r="AD1" t="s">
        <v>430</v>
      </c>
    </row>
    <row r="2" spans="1:32" x14ac:dyDescent="0.3">
      <c r="A2" t="s">
        <v>429</v>
      </c>
      <c r="B2" s="8" t="s">
        <v>416</v>
      </c>
      <c r="C2" s="8" t="s">
        <v>414</v>
      </c>
      <c r="D2" s="8" t="s">
        <v>413</v>
      </c>
      <c r="H2" s="35" cm="1">
        <f t="array" ref="H2:J6">B9:D13/E14</f>
        <v>5.4545454545454543E-2</v>
      </c>
      <c r="I2" s="34">
        <v>6.363636363636363E-2</v>
      </c>
      <c r="J2" s="33">
        <v>5.909090909090909E-2</v>
      </c>
      <c r="K2" s="25">
        <f>SUM(H2:J2)</f>
        <v>0.17727272727272725</v>
      </c>
      <c r="M2" s="35">
        <f t="shared" ref="M2:O6" si="0">H2-H10</f>
        <v>-5.8884297520661183E-3</v>
      </c>
      <c r="N2" s="34">
        <f t="shared" si="0"/>
        <v>5.6198347107438013E-3</v>
      </c>
      <c r="O2" s="33">
        <f t="shared" si="0"/>
        <v>2.6859504132231704E-4</v>
      </c>
      <c r="P2" s="25">
        <f>SUM(M2:O2)</f>
        <v>0</v>
      </c>
      <c r="R2" s="278">
        <f t="shared" ref="R2:T6" si="1">M10*SQRT(H10)</f>
        <v>-2.3952963018816723E-2</v>
      </c>
      <c r="S2" s="277">
        <f t="shared" si="1"/>
        <v>2.3331769188434093E-2</v>
      </c>
      <c r="T2" s="276">
        <f t="shared" si="1"/>
        <v>1.1074571666213572E-3</v>
      </c>
      <c r="V2" s="25" cm="1">
        <f t="array" ref="V2:Z6">[2]!SVD_U(R2:T6)</f>
        <v>0.11449428479927737</v>
      </c>
      <c r="W2" s="25">
        <v>0.18316156763147062</v>
      </c>
      <c r="X2" s="25">
        <v>0.96923007654336679</v>
      </c>
      <c r="Y2" s="25">
        <v>0.11656087641037381</v>
      </c>
      <c r="Z2" s="25">
        <v>1.8695446110463754E-2</v>
      </c>
      <c r="AD2" s="24">
        <f>Z12</f>
        <v>5.2396403348078061E-2</v>
      </c>
      <c r="AF2" s="24">
        <f>SUM(SUMSQ(R2:T6))</f>
        <v>5.2396403348078081E-2</v>
      </c>
    </row>
    <row r="3" spans="1:32" x14ac:dyDescent="0.3">
      <c r="A3" s="2" t="s">
        <v>417</v>
      </c>
      <c r="B3" s="8">
        <v>12</v>
      </c>
      <c r="C3" s="8">
        <v>14</v>
      </c>
      <c r="D3" s="8">
        <v>13</v>
      </c>
      <c r="H3" s="32">
        <v>0.05</v>
      </c>
      <c r="I3" s="25">
        <v>8.6363636363636365E-2</v>
      </c>
      <c r="J3" s="31">
        <v>5.4545454545454543E-2</v>
      </c>
      <c r="K3" s="25">
        <f>SUM(H3:J3)</f>
        <v>0.19090909090909089</v>
      </c>
      <c r="M3" s="32">
        <f t="shared" si="0"/>
        <v>-1.5082644628099176E-2</v>
      </c>
      <c r="N3" s="25">
        <f t="shared" si="0"/>
        <v>2.3884297520661166E-2</v>
      </c>
      <c r="O3" s="31">
        <f t="shared" si="0"/>
        <v>-8.8016528925619827E-3</v>
      </c>
      <c r="P3" s="25">
        <f>SUM(M3:O3)</f>
        <v>0</v>
      </c>
      <c r="R3" s="275">
        <f t="shared" si="1"/>
        <v>-5.9121426241233281E-2</v>
      </c>
      <c r="S3" s="274">
        <f t="shared" si="1"/>
        <v>9.5552985270002763E-2</v>
      </c>
      <c r="T3" s="273">
        <f t="shared" si="1"/>
        <v>-3.4970419576353176E-2</v>
      </c>
      <c r="V3" s="25">
        <v>0.15632436692174689</v>
      </c>
      <c r="W3" s="25">
        <v>0.78639444193179608</v>
      </c>
      <c r="X3" s="25">
        <v>-0.20384172944267023</v>
      </c>
      <c r="Y3" s="25">
        <v>0.37307809498540001</v>
      </c>
      <c r="Z3" s="25">
        <v>-0.42000923607128027</v>
      </c>
      <c r="AD3" t="str">
        <f ca="1">_xlfn.FORMULATEXT(AD2)</f>
        <v>=Z12</v>
      </c>
      <c r="AF3" t="str">
        <f ca="1">_xlfn.FORMULATEXT(AF2)</f>
        <v>=SUM(SUMSQ(R2:T6))</v>
      </c>
    </row>
    <row r="4" spans="1:32" x14ac:dyDescent="0.3">
      <c r="A4" s="2" t="s">
        <v>415</v>
      </c>
      <c r="B4" s="8">
        <v>11</v>
      </c>
      <c r="C4" s="8">
        <v>19</v>
      </c>
      <c r="D4" s="8">
        <v>12</v>
      </c>
      <c r="H4" s="32">
        <v>0.1</v>
      </c>
      <c r="I4" s="25">
        <v>6.8181818181818177E-2</v>
      </c>
      <c r="J4" s="31">
        <v>5.909090909090909E-2</v>
      </c>
      <c r="K4" s="25">
        <f>SUM(H4:J4)</f>
        <v>0.22727272727272727</v>
      </c>
      <c r="M4" s="32">
        <f t="shared" si="0"/>
        <v>2.2520661157024793E-2</v>
      </c>
      <c r="N4" s="25">
        <f t="shared" si="0"/>
        <v>-6.1983471074380236E-3</v>
      </c>
      <c r="O4" s="31">
        <f t="shared" si="0"/>
        <v>-1.6322314049586777E-2</v>
      </c>
      <c r="P4" s="25">
        <f>SUM(M4:O4)</f>
        <v>0</v>
      </c>
      <c r="R4" s="275">
        <f t="shared" si="1"/>
        <v>8.0907388473747385E-2</v>
      </c>
      <c r="S4" s="274">
        <f t="shared" si="1"/>
        <v>-2.2727272727272752E-2</v>
      </c>
      <c r="T4" s="273">
        <f t="shared" si="1"/>
        <v>-5.9437150181442786E-2</v>
      </c>
      <c r="V4" s="25">
        <v>-0.57326698155368883</v>
      </c>
      <c r="W4" s="25">
        <v>-0.12483173209357208</v>
      </c>
      <c r="X4" s="25">
        <v>0.13799133328423438</v>
      </c>
      <c r="Y4" s="25">
        <v>-0.26759233487605227</v>
      </c>
      <c r="Z4" s="25">
        <v>-0.75175444180720574</v>
      </c>
    </row>
    <row r="5" spans="1:32" x14ac:dyDescent="0.3">
      <c r="A5" s="2" t="s">
        <v>37</v>
      </c>
      <c r="B5" s="8">
        <v>22</v>
      </c>
      <c r="C5" s="8">
        <v>15</v>
      </c>
      <c r="D5" s="8">
        <v>13</v>
      </c>
      <c r="H5" s="32">
        <v>4.5454545454545456E-2</v>
      </c>
      <c r="I5" s="25">
        <v>0.05</v>
      </c>
      <c r="J5" s="31">
        <v>9.0909090909090912E-2</v>
      </c>
      <c r="K5" s="25">
        <f>SUM(H5:J5)</f>
        <v>0.18636363636363637</v>
      </c>
      <c r="M5" s="32">
        <f t="shared" si="0"/>
        <v>-1.8078512396694224E-2</v>
      </c>
      <c r="N5" s="25">
        <f t="shared" si="0"/>
        <v>-1.099173553719008E-2</v>
      </c>
      <c r="O5" s="31">
        <f t="shared" si="0"/>
        <v>2.907024793388429E-2</v>
      </c>
      <c r="P5" s="25">
        <f>SUM(M5:O5)</f>
        <v>0</v>
      </c>
      <c r="R5" s="275">
        <f t="shared" si="1"/>
        <v>-7.172372093945488E-2</v>
      </c>
      <c r="S5" s="274">
        <f t="shared" si="1"/>
        <v>-4.4507251418044201E-2</v>
      </c>
      <c r="T5" s="273">
        <f t="shared" si="1"/>
        <v>0.11690095476592062</v>
      </c>
      <c r="V5" s="25">
        <v>0.72324318254945985</v>
      </c>
      <c r="W5" s="25">
        <v>-0.45867318518438976</v>
      </c>
      <c r="X5" s="25">
        <v>0</v>
      </c>
      <c r="Y5" s="25">
        <v>9.1816267381372829E-2</v>
      </c>
      <c r="Z5" s="25">
        <v>-0.508043286672196</v>
      </c>
      <c r="AE5" t="s">
        <v>428</v>
      </c>
    </row>
    <row r="6" spans="1:32" x14ac:dyDescent="0.3">
      <c r="A6" s="2" t="s">
        <v>362</v>
      </c>
      <c r="B6" s="8">
        <v>10</v>
      </c>
      <c r="C6" s="8">
        <v>11</v>
      </c>
      <c r="D6" s="8">
        <v>20</v>
      </c>
      <c r="H6" s="263">
        <v>9.0909090909090912E-2</v>
      </c>
      <c r="I6" s="262">
        <v>5.909090909090909E-2</v>
      </c>
      <c r="J6" s="261">
        <v>6.8181818181818177E-2</v>
      </c>
      <c r="K6" s="25">
        <f>SUM(H6:J6)</f>
        <v>0.21818181818181817</v>
      </c>
      <c r="M6" s="263">
        <f t="shared" si="0"/>
        <v>1.6528925619834711E-2</v>
      </c>
      <c r="N6" s="262">
        <f t="shared" si="0"/>
        <v>-1.231404958677685E-2</v>
      </c>
      <c r="O6" s="261">
        <f t="shared" si="0"/>
        <v>-4.2148760330578544E-3</v>
      </c>
      <c r="P6" s="25">
        <f>SUM(M6:O6)</f>
        <v>6.9388939039072284E-18</v>
      </c>
      <c r="R6" s="272">
        <f t="shared" si="1"/>
        <v>6.0606060606060601E-2</v>
      </c>
      <c r="S6" s="271">
        <f t="shared" si="1"/>
        <v>-4.6082572181148133E-2</v>
      </c>
      <c r="T6" s="270">
        <f t="shared" si="1"/>
        <v>-1.5664821044715366E-2</v>
      </c>
      <c r="V6" s="25">
        <v>-0.3327732227972503</v>
      </c>
      <c r="W6" s="25">
        <v>-0.34938742063343731</v>
      </c>
      <c r="X6" s="25">
        <v>0</v>
      </c>
      <c r="Y6" s="25">
        <v>0.87589406465179631</v>
      </c>
      <c r="Z6" s="8">
        <v>0</v>
      </c>
      <c r="AE6">
        <f>SQRT(AD2)</f>
        <v>0.22890260668694462</v>
      </c>
      <c r="AF6" s="269"/>
    </row>
    <row r="7" spans="1:32" x14ac:dyDescent="0.3">
      <c r="A7" s="2" t="s">
        <v>412</v>
      </c>
      <c r="B7" s="8">
        <v>20</v>
      </c>
      <c r="C7" s="8">
        <v>13</v>
      </c>
      <c r="D7" s="8">
        <v>15</v>
      </c>
      <c r="G7" s="2" t="s">
        <v>427</v>
      </c>
      <c r="H7" s="25">
        <f>SUM(H2:H6)</f>
        <v>0.34090909090909094</v>
      </c>
      <c r="I7" s="25">
        <f>SUM(I2:I6)</f>
        <v>0.32727272727272727</v>
      </c>
      <c r="J7" s="25">
        <f>SUM(J2:J6)</f>
        <v>0.33181818181818185</v>
      </c>
      <c r="K7" s="25">
        <f>SUM(K2:K6)</f>
        <v>1</v>
      </c>
      <c r="M7" s="25">
        <f>SUM(M2:M6)</f>
        <v>0</v>
      </c>
      <c r="N7" s="25">
        <f>SUM(N2:N6)</f>
        <v>1.3877787807814457E-17</v>
      </c>
      <c r="O7" s="25">
        <f>SUM(O2:O6)</f>
        <v>-6.9388939039072284E-18</v>
      </c>
      <c r="P7" s="8"/>
      <c r="R7" s="161" t="str">
        <f ca="1">_xlfn.FORMULATEXT(R2)</f>
        <v>=M10*SQRT(H10)</v>
      </c>
      <c r="V7" t="str">
        <f ca="1">_xlfn.FORMULATEXT(V2)</f>
        <v>=SVD_U(R2:T6)</v>
      </c>
      <c r="AE7" t="str">
        <f ca="1">_xlfn.FORMULATEXT(AE6)</f>
        <v>=SQRT(AD2)</v>
      </c>
    </row>
    <row r="8" spans="1:32" x14ac:dyDescent="0.3">
      <c r="H8" t="str">
        <f ca="1">_xlfn.FORMULATEXT(H2)</f>
        <v>=B9:D13/E14</v>
      </c>
      <c r="M8" s="26" t="str">
        <f ca="1">_xlfn.FORMULATEXT(M2)</f>
        <v>=H2-H10</v>
      </c>
    </row>
    <row r="9" spans="1:32" x14ac:dyDescent="0.3">
      <c r="B9" s="148">
        <f t="shared" ref="B9:D13" si="2">B3</f>
        <v>12</v>
      </c>
      <c r="C9" s="147">
        <f t="shared" si="2"/>
        <v>14</v>
      </c>
      <c r="D9" s="146">
        <f t="shared" si="2"/>
        <v>13</v>
      </c>
      <c r="E9" s="8">
        <f>SUM(B9:D9)</f>
        <v>39</v>
      </c>
      <c r="F9" t="str">
        <f ca="1">_xlfn.FORMULATEXT(E9)</f>
        <v>=SUM(B9:D9)</v>
      </c>
      <c r="H9" t="s">
        <v>426</v>
      </c>
      <c r="M9" t="s">
        <v>425</v>
      </c>
      <c r="R9" t="s">
        <v>424</v>
      </c>
      <c r="V9" t="s">
        <v>423</v>
      </c>
      <c r="Z9" t="s">
        <v>422</v>
      </c>
      <c r="AB9" t="s">
        <v>105</v>
      </c>
      <c r="AD9" t="s">
        <v>419</v>
      </c>
      <c r="AE9" t="s">
        <v>407</v>
      </c>
      <c r="AF9" t="s">
        <v>406</v>
      </c>
    </row>
    <row r="10" spans="1:32" x14ac:dyDescent="0.3">
      <c r="B10" s="139">
        <f t="shared" si="2"/>
        <v>11</v>
      </c>
      <c r="C10" s="8">
        <f t="shared" si="2"/>
        <v>19</v>
      </c>
      <c r="D10" s="138">
        <f t="shared" si="2"/>
        <v>12</v>
      </c>
      <c r="E10" s="8">
        <f>SUM(B10:D10)</f>
        <v>42</v>
      </c>
      <c r="H10" s="35">
        <f t="shared" ref="H10:J14" si="3">$K2*H$7</f>
        <v>6.0433884297520661E-2</v>
      </c>
      <c r="I10" s="34">
        <f t="shared" si="3"/>
        <v>5.8016528925619829E-2</v>
      </c>
      <c r="J10" s="33">
        <f t="shared" si="3"/>
        <v>5.8822314049586773E-2</v>
      </c>
      <c r="K10" s="25">
        <f>SUM(H10:J10)</f>
        <v>0.17727272727272725</v>
      </c>
      <c r="M10" s="142">
        <f t="shared" ref="M10:O14" si="4">M2/H10</f>
        <v>-9.7435897435897478E-2</v>
      </c>
      <c r="N10" s="141">
        <f t="shared" si="4"/>
        <v>9.6866096866096874E-2</v>
      </c>
      <c r="O10" s="140">
        <f t="shared" si="4"/>
        <v>4.5662100456621514E-3</v>
      </c>
      <c r="P10" s="21"/>
      <c r="R10" s="25" cm="1">
        <f t="array" ref="R10:T14">[2]!SVD_D(R2:T6)</f>
        <v>0.17674001765328956</v>
      </c>
      <c r="S10" s="8">
        <v>0</v>
      </c>
      <c r="T10" s="8">
        <v>0</v>
      </c>
      <c r="V10" s="25" cm="1">
        <f t="array" ref="V10:X12">[2]!SVD_V(R2:T6)</f>
        <v>-0.7378515590926169</v>
      </c>
      <c r="W10" s="25">
        <v>-0.33862366402173422</v>
      </c>
      <c r="X10" s="8">
        <v>-8.6736173798840355E-18</v>
      </c>
      <c r="Z10" s="134">
        <f>R10^2</f>
        <v>3.1237033840085107E-2</v>
      </c>
      <c r="AA10" s="268">
        <f>Z10/Z12</f>
        <v>0.59616751998361939</v>
      </c>
      <c r="AB10" s="266">
        <f>AA10</f>
        <v>0.59616751998361939</v>
      </c>
      <c r="AD10" s="2" t="str">
        <f t="shared" ref="AD10:AF14" si="5">U18</f>
        <v>A</v>
      </c>
      <c r="AE10" s="25">
        <f t="shared" si="5"/>
        <v>0.27193358330211331</v>
      </c>
      <c r="AF10" s="25">
        <f t="shared" si="5"/>
        <v>0.43502417170059948</v>
      </c>
    </row>
    <row r="11" spans="1:32" x14ac:dyDescent="0.3">
      <c r="B11" s="139">
        <f t="shared" si="2"/>
        <v>22</v>
      </c>
      <c r="C11" s="8">
        <f t="shared" si="2"/>
        <v>15</v>
      </c>
      <c r="D11" s="138">
        <f t="shared" si="2"/>
        <v>13</v>
      </c>
      <c r="E11" s="8">
        <f>SUM(B11:D11)</f>
        <v>50</v>
      </c>
      <c r="H11" s="32">
        <f t="shared" si="3"/>
        <v>6.5082644628099179E-2</v>
      </c>
      <c r="I11" s="25">
        <f t="shared" si="3"/>
        <v>6.2479338842975199E-2</v>
      </c>
      <c r="J11" s="31">
        <f t="shared" si="3"/>
        <v>6.3347107438016526E-2</v>
      </c>
      <c r="K11" s="25">
        <f>SUM(H11:J11)</f>
        <v>0.19090909090909092</v>
      </c>
      <c r="M11" s="265">
        <f t="shared" si="4"/>
        <v>-0.23174603174603176</v>
      </c>
      <c r="N11" s="27">
        <f t="shared" si="4"/>
        <v>0.38227513227513243</v>
      </c>
      <c r="O11" s="264">
        <f t="shared" si="4"/>
        <v>-0.13894324853228962</v>
      </c>
      <c r="P11" s="21"/>
      <c r="R11" s="8">
        <v>0</v>
      </c>
      <c r="S11" s="25">
        <v>0.14546260518770093</v>
      </c>
      <c r="T11" s="8">
        <v>0</v>
      </c>
      <c r="V11" s="25">
        <v>7.7983974834092626E-2</v>
      </c>
      <c r="W11" s="25">
        <v>0.81648378575226388</v>
      </c>
      <c r="X11" s="8">
        <v>2.6020852139652106E-18</v>
      </c>
      <c r="Z11" s="134">
        <f>S11^2</f>
        <v>2.1159369507992958E-2</v>
      </c>
      <c r="AA11" s="268">
        <f>Z11/Z12</f>
        <v>0.40383248001638072</v>
      </c>
      <c r="AB11" s="266">
        <f>AA11+AB10</f>
        <v>1</v>
      </c>
      <c r="AD11" s="2" t="str">
        <f t="shared" si="5"/>
        <v>B</v>
      </c>
      <c r="AE11" s="25">
        <f t="shared" si="5"/>
        <v>0.35777778726621878</v>
      </c>
      <c r="AF11" s="25">
        <f t="shared" si="5"/>
        <v>1.7998119480224848</v>
      </c>
    </row>
    <row r="12" spans="1:32" x14ac:dyDescent="0.3">
      <c r="B12" s="139">
        <f t="shared" si="2"/>
        <v>10</v>
      </c>
      <c r="C12" s="8">
        <f t="shared" si="2"/>
        <v>11</v>
      </c>
      <c r="D12" s="138">
        <f t="shared" si="2"/>
        <v>20</v>
      </c>
      <c r="E12" s="8">
        <f>SUM(B12:D12)</f>
        <v>41</v>
      </c>
      <c r="H12" s="32">
        <f t="shared" si="3"/>
        <v>7.7479338842975212E-2</v>
      </c>
      <c r="I12" s="25">
        <f t="shared" si="3"/>
        <v>7.43801652892562E-2</v>
      </c>
      <c r="J12" s="31">
        <f t="shared" si="3"/>
        <v>7.5413223140495866E-2</v>
      </c>
      <c r="K12" s="25">
        <f>SUM(H12:J12)</f>
        <v>0.22727272727272729</v>
      </c>
      <c r="M12" s="265">
        <f t="shared" si="4"/>
        <v>0.29066666666666663</v>
      </c>
      <c r="N12" s="27">
        <f t="shared" si="4"/>
        <v>-8.3333333333333426E-2</v>
      </c>
      <c r="O12" s="264">
        <f t="shared" si="4"/>
        <v>-0.21643835616438356</v>
      </c>
      <c r="P12" s="21"/>
      <c r="R12" s="8">
        <v>0</v>
      </c>
      <c r="S12" s="8">
        <v>0</v>
      </c>
      <c r="T12" s="267">
        <v>0</v>
      </c>
      <c r="V12" s="25">
        <v>0.67044282113665044</v>
      </c>
      <c r="W12" s="25">
        <v>-0.46764114635920045</v>
      </c>
      <c r="X12" s="8">
        <v>-1.7347234759768071E-18</v>
      </c>
      <c r="Z12" s="134">
        <f>SUM(Z10:Z11)</f>
        <v>5.2396403348078061E-2</v>
      </c>
      <c r="AA12" s="266">
        <f>SUM(AA10:AA11)</f>
        <v>1</v>
      </c>
      <c r="AB12" s="8"/>
      <c r="AD12" s="2" t="str">
        <f t="shared" si="5"/>
        <v>C</v>
      </c>
      <c r="AE12" s="25">
        <f t="shared" si="5"/>
        <v>-1.2024949652346077</v>
      </c>
      <c r="AF12" s="25">
        <f t="shared" si="5"/>
        <v>-0.26184925030428852</v>
      </c>
    </row>
    <row r="13" spans="1:32" x14ac:dyDescent="0.3">
      <c r="B13" s="232">
        <f t="shared" si="2"/>
        <v>20</v>
      </c>
      <c r="C13" s="225">
        <f t="shared" si="2"/>
        <v>13</v>
      </c>
      <c r="D13" s="231">
        <f t="shared" si="2"/>
        <v>15</v>
      </c>
      <c r="E13" s="8">
        <f>SUM(B13:D13)</f>
        <v>48</v>
      </c>
      <c r="H13" s="32">
        <f t="shared" si="3"/>
        <v>6.353305785123968E-2</v>
      </c>
      <c r="I13" s="25">
        <f t="shared" si="3"/>
        <v>6.0991735537190082E-2</v>
      </c>
      <c r="J13" s="31">
        <f t="shared" si="3"/>
        <v>6.1838842975206622E-2</v>
      </c>
      <c r="K13" s="25">
        <f>SUM(H13:J13)</f>
        <v>0.18636363636363637</v>
      </c>
      <c r="M13" s="265">
        <f t="shared" si="4"/>
        <v>-0.28455284552845539</v>
      </c>
      <c r="N13" s="27">
        <f t="shared" si="4"/>
        <v>-0.18021680216802163</v>
      </c>
      <c r="O13" s="264">
        <f t="shared" si="4"/>
        <v>0.4700968927497492</v>
      </c>
      <c r="P13" s="21"/>
      <c r="R13" s="8">
        <v>0</v>
      </c>
      <c r="S13" s="8">
        <v>0</v>
      </c>
      <c r="T13" s="8">
        <v>0</v>
      </c>
      <c r="V13" t="str">
        <f ca="1">_xlfn.FORMULATEXT(V10)</f>
        <v>=SVD_V(R2:T6)</v>
      </c>
      <c r="Z13" t="str">
        <f ca="1">_xlfn.FORMULATEXT(Z10)</f>
        <v>=R10^2</v>
      </c>
      <c r="AA13" t="str">
        <f ca="1">_xlfn.FORMULATEXT(AA10)</f>
        <v>=Z10/Z12</v>
      </c>
      <c r="AD13" s="2" t="str">
        <f t="shared" si="5"/>
        <v>D</v>
      </c>
      <c r="AE13" s="25">
        <f t="shared" si="5"/>
        <v>1.6753430973177512</v>
      </c>
      <c r="AF13" s="25">
        <f t="shared" si="5"/>
        <v>-1.0624848920312686</v>
      </c>
    </row>
    <row r="14" spans="1:32" x14ac:dyDescent="0.3">
      <c r="B14" s="8">
        <f>SUM(B9:B13)</f>
        <v>75</v>
      </c>
      <c r="C14" s="8">
        <f>SUM(C9:C13)</f>
        <v>72</v>
      </c>
      <c r="D14" s="8">
        <f>SUM(D9:D13)</f>
        <v>73</v>
      </c>
      <c r="E14" s="8">
        <f>SUM(E9:E13)</f>
        <v>220</v>
      </c>
      <c r="H14" s="263">
        <f t="shared" si="3"/>
        <v>7.43801652892562E-2</v>
      </c>
      <c r="I14" s="262">
        <f t="shared" si="3"/>
        <v>7.140495867768594E-2</v>
      </c>
      <c r="J14" s="261">
        <f t="shared" si="3"/>
        <v>7.2396694214876031E-2</v>
      </c>
      <c r="K14" s="25">
        <f>SUM(H14:J14)</f>
        <v>0.2181818181818182</v>
      </c>
      <c r="M14" s="260">
        <f t="shared" si="4"/>
        <v>0.22222222222222221</v>
      </c>
      <c r="N14" s="259">
        <f t="shared" si="4"/>
        <v>-0.17245370370370358</v>
      </c>
      <c r="O14" s="258">
        <f t="shared" si="4"/>
        <v>-5.8219178082191826E-2</v>
      </c>
      <c r="P14" s="21"/>
      <c r="R14" s="8">
        <v>0</v>
      </c>
      <c r="S14" s="8">
        <v>0</v>
      </c>
      <c r="T14" s="8">
        <v>0</v>
      </c>
      <c r="Z14" t="str">
        <f ca="1">_xlfn.FORMULATEXT(Z12)</f>
        <v>=SUM(Z10:Z11)</v>
      </c>
      <c r="AD14" s="2" t="str">
        <f t="shared" si="5"/>
        <v>E</v>
      </c>
      <c r="AE14" s="25">
        <f t="shared" si="5"/>
        <v>-0.71242490713043827</v>
      </c>
      <c r="AF14" s="25">
        <f t="shared" si="5"/>
        <v>-0.74799377968273439</v>
      </c>
    </row>
    <row r="15" spans="1:32" x14ac:dyDescent="0.3">
      <c r="B15" t="str">
        <f ca="1">_xlfn.FORMULATEXT(B14)</f>
        <v>=SUM(B9:B13)</v>
      </c>
      <c r="H15" s="25">
        <f>SUM(H10:H14)</f>
        <v>0.34090909090909094</v>
      </c>
      <c r="I15" s="25">
        <f>SUM(I10:I14)</f>
        <v>0.32727272727272722</v>
      </c>
      <c r="J15" s="25">
        <f>SUM(J10:J14)</f>
        <v>0.33181818181818185</v>
      </c>
      <c r="K15" s="25">
        <f>SUM(K10:K14)</f>
        <v>1</v>
      </c>
      <c r="M15" s="21" t="str">
        <f ca="1">_xlfn.FORMULATEXT(M10)</f>
        <v>=M2/H10</v>
      </c>
      <c r="N15" s="21"/>
      <c r="O15" s="21"/>
      <c r="P15" s="21"/>
      <c r="R15" t="str">
        <f ca="1">_xlfn.FORMULATEXT(R10)</f>
        <v>=SVD_D(R2:T6)</v>
      </c>
      <c r="AD15" s="2" t="s">
        <v>416</v>
      </c>
      <c r="AE15" s="25">
        <f t="shared" ref="AE15:AF17" si="6">Z18</f>
        <v>-1.2637166513433788</v>
      </c>
      <c r="AF15" s="25">
        <f t="shared" si="6"/>
        <v>-0.59191915837631914</v>
      </c>
    </row>
    <row r="16" spans="1:32" x14ac:dyDescent="0.3">
      <c r="H16" s="26" t="str">
        <f ca="1">_xlfn.FORMULATEXT(H10)</f>
        <v>=$K2*H$7</v>
      </c>
      <c r="V16" t="s">
        <v>421</v>
      </c>
      <c r="Z16" t="s">
        <v>420</v>
      </c>
      <c r="AD16" s="2" t="s">
        <v>414</v>
      </c>
      <c r="AE16" s="25">
        <f t="shared" si="6"/>
        <v>0.13356297255369176</v>
      </c>
      <c r="AF16" s="25">
        <f t="shared" si="6"/>
        <v>1.4272256981407279</v>
      </c>
    </row>
    <row r="17" spans="15:32" x14ac:dyDescent="0.3">
      <c r="V17" t="s">
        <v>407</v>
      </c>
      <c r="W17" t="s">
        <v>406</v>
      </c>
      <c r="Z17" t="s">
        <v>407</v>
      </c>
      <c r="AA17" t="s">
        <v>406</v>
      </c>
      <c r="AD17" s="2" t="s">
        <v>413</v>
      </c>
      <c r="AE17" s="25">
        <f t="shared" si="6"/>
        <v>1.1482658624262214</v>
      </c>
      <c r="AF17" s="25">
        <f t="shared" si="6"/>
        <v>-0.81744362011660388</v>
      </c>
    </row>
    <row r="18" spans="15:32" x14ac:dyDescent="0.3">
      <c r="U18" s="2" t="s">
        <v>417</v>
      </c>
      <c r="V18" s="256" cm="1">
        <f t="array" ref="V18:V22">V2:V6/SQRT($K2:$K6)</f>
        <v>0.27193358330211331</v>
      </c>
      <c r="W18" s="256" cm="1">
        <f t="array" ref="W18:W22">W2:W6/SQRT($K2:$K6)</f>
        <v>0.43502417170059948</v>
      </c>
      <c r="X18" s="26"/>
      <c r="Y18" s="2" t="s">
        <v>416</v>
      </c>
      <c r="Z18" s="257" cm="1">
        <f t="array" ref="Z18:Z20">V10:V12/SQRT(H$7)</f>
        <v>-1.2637166513433788</v>
      </c>
      <c r="AA18" s="257" cm="1">
        <f t="array" ref="AA18:AA20">W10:W12/SQRT(I$7)</f>
        <v>-0.59191915837631914</v>
      </c>
      <c r="AD18" t="str">
        <f ca="1">_xlfn.FORMULATEXT(AD10)</f>
        <v>=U18</v>
      </c>
      <c r="AE18" t="str">
        <f ca="1">_xlfn.FORMULATEXT(AE10)</f>
        <v>=V18</v>
      </c>
      <c r="AF18" t="str">
        <f ca="1">_xlfn.FORMULATEXT(AF10)</f>
        <v>=W18</v>
      </c>
    </row>
    <row r="19" spans="15:32" x14ac:dyDescent="0.3">
      <c r="U19" s="2" t="s">
        <v>415</v>
      </c>
      <c r="V19" s="256">
        <v>0.35777778726621878</v>
      </c>
      <c r="W19" s="256">
        <v>1.7998119480224848</v>
      </c>
      <c r="X19" s="26"/>
      <c r="Y19" s="2" t="s">
        <v>414</v>
      </c>
      <c r="Z19" s="257">
        <v>0.13356297255369176</v>
      </c>
      <c r="AA19" s="257">
        <v>1.4272256981407279</v>
      </c>
    </row>
    <row r="20" spans="15:32" x14ac:dyDescent="0.3">
      <c r="U20" s="2" t="s">
        <v>37</v>
      </c>
      <c r="V20" s="256">
        <v>-1.2024949652346077</v>
      </c>
      <c r="W20" s="256">
        <v>-0.26184925030428852</v>
      </c>
      <c r="X20" s="26"/>
      <c r="Y20" s="2" t="s">
        <v>413</v>
      </c>
      <c r="Z20" s="257">
        <v>1.1482658624262214</v>
      </c>
      <c r="AA20" s="257">
        <v>-0.81744362011660388</v>
      </c>
      <c r="AD20" t="s">
        <v>419</v>
      </c>
      <c r="AE20" t="s">
        <v>407</v>
      </c>
      <c r="AF20" t="s">
        <v>406</v>
      </c>
    </row>
    <row r="21" spans="15:32" x14ac:dyDescent="0.3">
      <c r="U21" s="2" t="s">
        <v>362</v>
      </c>
      <c r="V21" s="256">
        <v>1.6753430973177512</v>
      </c>
      <c r="W21" s="256">
        <v>-1.0624848920312686</v>
      </c>
      <c r="X21" s="26"/>
      <c r="Z21" s="26" t="str">
        <f ca="1">_xlfn.FORMULATEXT(Z18)</f>
        <v>=V10:V12/SQRT(H$7)</v>
      </c>
      <c r="AD21" s="2" t="str">
        <f t="shared" ref="AD21:AF25" si="7">U27</f>
        <v>A</v>
      </c>
      <c r="AE21" s="25">
        <f t="shared" si="7"/>
        <v>4.806154631333779E-2</v>
      </c>
      <c r="AF21" s="25">
        <f t="shared" si="7"/>
        <v>6.3279749335190927E-2</v>
      </c>
    </row>
    <row r="22" spans="15:32" x14ac:dyDescent="0.3">
      <c r="U22" s="2" t="s">
        <v>412</v>
      </c>
      <c r="V22" s="256">
        <v>-0.71242490713043827</v>
      </c>
      <c r="W22" s="256">
        <v>-0.74799377968273439</v>
      </c>
      <c r="X22" s="26"/>
      <c r="Y22" s="26"/>
      <c r="Z22" s="26"/>
      <c r="AA22" t="str">
        <f ca="1">_xlfn.FORMULATEXT(AA18)</f>
        <v>=W10:W12/SQRT(I$7)</v>
      </c>
      <c r="AD22" s="2" t="str">
        <f t="shared" si="7"/>
        <v>B</v>
      </c>
      <c r="AE22" s="25">
        <f t="shared" si="7"/>
        <v>6.3233652437386378E-2</v>
      </c>
      <c r="AF22" s="25">
        <f t="shared" si="7"/>
        <v>0.26180533480730162</v>
      </c>
    </row>
    <row r="23" spans="15:32" x14ac:dyDescent="0.3">
      <c r="V23" s="26" t="str">
        <f ca="1">_xlfn.FORMULATEXT(V18)</f>
        <v>=V2:V6/SQRT($K2:$K6)</v>
      </c>
      <c r="AD23" s="2" t="str">
        <f t="shared" si="7"/>
        <v>C</v>
      </c>
      <c r="AE23" s="25">
        <f t="shared" si="7"/>
        <v>-0.21252898138355636</v>
      </c>
      <c r="AF23" s="25">
        <f t="shared" si="7"/>
        <v>-3.8089274115708199E-2</v>
      </c>
    </row>
    <row r="24" spans="15:32" x14ac:dyDescent="0.3">
      <c r="W24" s="26" t="str">
        <f ca="1">_xlfn.FORMULATEXT(W18)</f>
        <v>=W2:W6/SQRT($K2:$K6)</v>
      </c>
      <c r="AD24" s="2" t="str">
        <f t="shared" si="7"/>
        <v>D</v>
      </c>
      <c r="AE24" s="25">
        <f t="shared" si="7"/>
        <v>0.29610016859525612</v>
      </c>
      <c r="AF24" s="25">
        <f t="shared" si="7"/>
        <v>-0.15455182036744147</v>
      </c>
    </row>
    <row r="25" spans="15:32" x14ac:dyDescent="0.3">
      <c r="AD25" s="2" t="str">
        <f t="shared" si="7"/>
        <v>E</v>
      </c>
      <c r="AE25" s="25">
        <f t="shared" si="7"/>
        <v>-0.12591399066287684</v>
      </c>
      <c r="AF25" s="25">
        <f t="shared" si="7"/>
        <v>-0.10880512385684576</v>
      </c>
    </row>
    <row r="26" spans="15:32" x14ac:dyDescent="0.3">
      <c r="V26" t="s">
        <v>418</v>
      </c>
      <c r="Z26" t="s">
        <v>418</v>
      </c>
      <c r="AD26" s="2" t="str">
        <f t="shared" ref="AD26:AF28" si="8">Y27</f>
        <v>Salty</v>
      </c>
      <c r="AE26" s="25">
        <f t="shared" si="8"/>
        <v>-0.22334930326718475</v>
      </c>
      <c r="AF26" s="25">
        <f t="shared" si="8"/>
        <v>-8.4362487093429472E-2</v>
      </c>
    </row>
    <row r="27" spans="15:32" x14ac:dyDescent="0.3">
      <c r="O27" s="20"/>
      <c r="U27" s="2" t="s">
        <v>417</v>
      </c>
      <c r="V27" s="254" cm="1">
        <f t="array" ref="V27:W31">MMULT(([2]!DIAGONAL(1/SQRT(K2:K6))),MMULT(V2:Z6,R10:S14))</f>
        <v>4.806154631333779E-2</v>
      </c>
      <c r="W27" s="254">
        <v>6.3279749335190927E-2</v>
      </c>
      <c r="Y27" s="2" t="s">
        <v>416</v>
      </c>
      <c r="Z27" s="255" cm="1">
        <f t="array" ref="Z27:AA29">MMULT(([2]!DIAGONAL(1/SQRT(H7:J7))),MMULT(V10:X12,TRANSPOSE(R10:T11)))</f>
        <v>-0.22334930326718475</v>
      </c>
      <c r="AA27" s="255">
        <v>-8.4362487093429472E-2</v>
      </c>
      <c r="AD27" s="2" t="str">
        <f t="shared" si="8"/>
        <v>Sweet</v>
      </c>
      <c r="AE27" s="25">
        <f t="shared" si="8"/>
        <v>2.4092693382891665E-2</v>
      </c>
      <c r="AF27" s="25">
        <f t="shared" si="8"/>
        <v>0.20760796824238553</v>
      </c>
    </row>
    <row r="28" spans="15:32" x14ac:dyDescent="0.3">
      <c r="U28" s="2" t="s">
        <v>415</v>
      </c>
      <c r="V28" s="254">
        <v>6.3233652437386378E-2</v>
      </c>
      <c r="W28" s="254">
        <v>0.26180533480730162</v>
      </c>
      <c r="Y28" s="2" t="s">
        <v>414</v>
      </c>
      <c r="Z28" s="255">
        <v>2.4092693382891665E-2</v>
      </c>
      <c r="AA28" s="255">
        <v>0.20760796824238553</v>
      </c>
      <c r="AD28" s="2" t="str">
        <f t="shared" si="8"/>
        <v>Bland</v>
      </c>
      <c r="AE28" s="25">
        <f t="shared" si="8"/>
        <v>0.20570580577357053</v>
      </c>
      <c r="AF28" s="25">
        <f t="shared" si="8"/>
        <v>-0.11809023536225398</v>
      </c>
    </row>
    <row r="29" spans="15:32" x14ac:dyDescent="0.3">
      <c r="U29" s="2" t="s">
        <v>37</v>
      </c>
      <c r="V29" s="254">
        <v>-0.21252898138355636</v>
      </c>
      <c r="W29" s="254">
        <v>-3.8089274115708199E-2</v>
      </c>
      <c r="Y29" s="2" t="s">
        <v>413</v>
      </c>
      <c r="Z29" s="255">
        <v>0.20570580577357053</v>
      </c>
      <c r="AA29" s="255">
        <v>-0.11809023536225398</v>
      </c>
    </row>
    <row r="30" spans="15:32" x14ac:dyDescent="0.3">
      <c r="U30" s="2" t="s">
        <v>362</v>
      </c>
      <c r="V30" s="254">
        <v>0.29610016859525612</v>
      </c>
      <c r="W30" s="254">
        <v>-0.15455182036744147</v>
      </c>
      <c r="Z30" t="str">
        <f ca="1">_xlfn.FORMULATEXT(Z27)</f>
        <v>=MMULT((DIAGONAL(1/SQRT(H7:J7))),MMULT(V10:X12,TRANSPOSE(R10:T11)))</v>
      </c>
    </row>
    <row r="31" spans="15:32" x14ac:dyDescent="0.3">
      <c r="U31" s="2" t="s">
        <v>412</v>
      </c>
      <c r="V31" s="254">
        <v>-0.12591399066287684</v>
      </c>
      <c r="W31" s="254">
        <v>-0.10880512385684576</v>
      </c>
    </row>
    <row r="32" spans="15:32" x14ac:dyDescent="0.3">
      <c r="V32" t="str">
        <f ca="1">_xlfn.FORMULATEXT(V27)</f>
        <v>=MMULT((DIAGONAL(1/SQRT(K2:K6))),MMULT(V2:Z6,R10:S14))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B1675-E51E-4F59-AE0F-47177ED5AD38}">
  <dimension ref="A1:AZ51"/>
  <sheetViews>
    <sheetView tabSelected="1" workbookViewId="0">
      <selection activeCell="X22" sqref="X22"/>
    </sheetView>
  </sheetViews>
  <sheetFormatPr defaultRowHeight="14.4" x14ac:dyDescent="0.3"/>
  <cols>
    <col min="7" max="7" width="5" customWidth="1"/>
    <col min="12" max="12" width="5.88671875" customWidth="1"/>
    <col min="18" max="18" width="14.44140625" customWidth="1"/>
    <col min="19" max="20" width="10.5546875" bestFit="1" customWidth="1"/>
    <col min="24" max="24" width="8.44140625" customWidth="1"/>
    <col min="31" max="31" width="9.33203125" customWidth="1"/>
  </cols>
  <sheetData>
    <row r="1" spans="1:52" ht="15.6" x14ac:dyDescent="0.35">
      <c r="C1" t="s">
        <v>436</v>
      </c>
      <c r="F1" s="20" t="s">
        <v>466</v>
      </c>
      <c r="H1" t="s">
        <v>591</v>
      </c>
      <c r="M1" t="s">
        <v>465</v>
      </c>
      <c r="S1" s="12" t="s">
        <v>464</v>
      </c>
      <c r="Y1" t="s">
        <v>463</v>
      </c>
      <c r="AE1" t="s">
        <v>462</v>
      </c>
      <c r="AG1" t="s">
        <v>461</v>
      </c>
    </row>
    <row r="2" spans="1:52" x14ac:dyDescent="0.3">
      <c r="A2" t="s">
        <v>429</v>
      </c>
      <c r="B2" s="8" t="s">
        <v>416</v>
      </c>
      <c r="C2" s="8" t="s">
        <v>414</v>
      </c>
      <c r="D2" s="8" t="s">
        <v>413</v>
      </c>
      <c r="F2" s="8">
        <v>1</v>
      </c>
      <c r="H2" s="25" cm="1">
        <f t="array" ref="H2:H6">1/E8*MMULT(B3:D7,F2:F4)</f>
        <v>0.17727272727272728</v>
      </c>
      <c r="M2" s="25">
        <f>1/SQRT(H2)</f>
        <v>2.3750843439814173</v>
      </c>
      <c r="N2" s="8">
        <v>0</v>
      </c>
      <c r="O2" s="8">
        <v>0</v>
      </c>
      <c r="P2" s="8">
        <v>0</v>
      </c>
      <c r="Q2" s="8">
        <v>0</v>
      </c>
      <c r="S2" s="25" cm="1">
        <f t="array" ref="S2:U6">[2]!SVD_D(M17:O21)</f>
        <v>0.17674001765328959</v>
      </c>
      <c r="T2" s="8">
        <v>0</v>
      </c>
      <c r="U2" s="8">
        <v>0</v>
      </c>
      <c r="X2" s="2" t="s">
        <v>417</v>
      </c>
      <c r="Y2" s="256" cm="1">
        <f t="array" ref="Y2:AC6">MMULT(M2:Q6,S10:W14)</f>
        <v>0.2719335833021127</v>
      </c>
      <c r="Z2" s="256">
        <v>0.43502417170059887</v>
      </c>
      <c r="AA2" s="25">
        <v>0.27684191268303165</v>
      </c>
      <c r="AB2" s="25">
        <v>4.440326136071094E-2</v>
      </c>
      <c r="AC2" s="25">
        <v>2.3020031805140611</v>
      </c>
      <c r="AE2" s="134">
        <f>S2^2</f>
        <v>3.1237033840085117E-2</v>
      </c>
      <c r="AF2" t="str">
        <f ca="1">_xlfn.FORMULATEXT(AE2)</f>
        <v>=S2^2</v>
      </c>
      <c r="AG2" s="27">
        <f>AE2/AE4</f>
        <v>0.59616751998361905</v>
      </c>
      <c r="AH2" t="str">
        <f ca="1">_xlfn.FORMULATEXT(AG2)</f>
        <v>=AE2/AE4</v>
      </c>
    </row>
    <row r="3" spans="1:52" x14ac:dyDescent="0.3">
      <c r="A3" s="2" t="s">
        <v>417</v>
      </c>
      <c r="B3" s="8">
        <v>12</v>
      </c>
      <c r="C3" s="8">
        <v>14</v>
      </c>
      <c r="D3" s="8">
        <v>13</v>
      </c>
      <c r="F3" s="8">
        <v>1</v>
      </c>
      <c r="H3" s="25">
        <v>0.19090909090909089</v>
      </c>
      <c r="M3" s="8">
        <v>0</v>
      </c>
      <c r="N3" s="25">
        <f>1/SQRT(H3)</f>
        <v>2.2886885410853175</v>
      </c>
      <c r="O3" s="8">
        <v>0</v>
      </c>
      <c r="P3" s="8">
        <v>0</v>
      </c>
      <c r="Q3" s="8">
        <v>0</v>
      </c>
      <c r="S3" s="8">
        <v>0</v>
      </c>
      <c r="T3" s="25">
        <v>0.14546260518770102</v>
      </c>
      <c r="U3" s="8">
        <v>0</v>
      </c>
      <c r="X3" s="2" t="s">
        <v>415</v>
      </c>
      <c r="Y3" s="256">
        <v>0.35777778726621767</v>
      </c>
      <c r="Z3" s="256">
        <v>1.7998119480224848</v>
      </c>
      <c r="AA3" s="25">
        <v>0.85385956092302506</v>
      </c>
      <c r="AB3" s="25">
        <v>-0.96127032574633764</v>
      </c>
      <c r="AC3" s="25">
        <v>-0.46653023037045244</v>
      </c>
      <c r="AE3" s="134">
        <f>T3^2</f>
        <v>2.1159369507992982E-2</v>
      </c>
      <c r="AF3" t="str">
        <f ca="1">_xlfn.FORMULATEXT(AE3)</f>
        <v>=T3^2</v>
      </c>
      <c r="AG3" s="27">
        <f>AE3/AE4</f>
        <v>0.40383248001638089</v>
      </c>
      <c r="AH3" t="str">
        <f ca="1">_xlfn.FORMULATEXT(AG3)</f>
        <v>=AE3/AE4</v>
      </c>
    </row>
    <row r="4" spans="1:52" x14ac:dyDescent="0.3">
      <c r="A4" s="2" t="s">
        <v>415</v>
      </c>
      <c r="B4" s="8">
        <v>11</v>
      </c>
      <c r="C4" s="8">
        <v>19</v>
      </c>
      <c r="D4" s="8">
        <v>12</v>
      </c>
      <c r="F4" s="8">
        <v>1</v>
      </c>
      <c r="H4" s="25">
        <v>0.22727272727272727</v>
      </c>
      <c r="M4" s="8">
        <v>0</v>
      </c>
      <c r="N4" s="8">
        <v>0</v>
      </c>
      <c r="O4" s="25">
        <f>1/SQRT(H4)</f>
        <v>2.0976176963403028</v>
      </c>
      <c r="P4" s="8">
        <v>0</v>
      </c>
      <c r="Q4" s="8">
        <v>0</v>
      </c>
      <c r="S4" s="8">
        <v>0</v>
      </c>
      <c r="T4" s="8">
        <v>0</v>
      </c>
      <c r="U4" s="8">
        <v>0</v>
      </c>
      <c r="X4" s="2" t="s">
        <v>37</v>
      </c>
      <c r="Y4" s="256">
        <v>-1.2024949652346066</v>
      </c>
      <c r="Z4" s="256">
        <v>-0.26184925030428918</v>
      </c>
      <c r="AA4" s="25">
        <v>-0.56130641704102791</v>
      </c>
      <c r="AB4" s="25">
        <v>-1.5768934204372214</v>
      </c>
      <c r="AC4" s="25">
        <v>0.28945306263860271</v>
      </c>
      <c r="AE4" s="339">
        <f>SUM(AE2:AE3)</f>
        <v>5.2396403348078102E-2</v>
      </c>
      <c r="AF4" t="s">
        <v>460</v>
      </c>
      <c r="AI4" s="338">
        <f>SUM(SUMSQ(M17:O21))</f>
        <v>5.2396403348078102E-2</v>
      </c>
      <c r="AL4">
        <f>SQRT(AI4)</f>
        <v>0.2289026066869447</v>
      </c>
    </row>
    <row r="5" spans="1:52" x14ac:dyDescent="0.3">
      <c r="A5" s="2" t="s">
        <v>37</v>
      </c>
      <c r="B5" s="8">
        <v>22</v>
      </c>
      <c r="C5" s="8">
        <v>15</v>
      </c>
      <c r="D5" s="8">
        <v>13</v>
      </c>
      <c r="F5" s="8">
        <v>1</v>
      </c>
      <c r="H5" s="25">
        <v>0.18636363636363634</v>
      </c>
      <c r="M5" s="8">
        <v>0</v>
      </c>
      <c r="N5" s="8">
        <v>0</v>
      </c>
      <c r="O5" s="8">
        <v>0</v>
      </c>
      <c r="P5" s="25">
        <f>1/SQRT(H5)</f>
        <v>2.3164312332846375</v>
      </c>
      <c r="Q5" s="8">
        <v>0</v>
      </c>
      <c r="S5" s="8">
        <v>0</v>
      </c>
      <c r="T5" s="8">
        <v>0</v>
      </c>
      <c r="U5" s="8">
        <v>0</v>
      </c>
      <c r="X5" s="2" t="s">
        <v>362</v>
      </c>
      <c r="Y5" s="256">
        <v>1.6753430973177528</v>
      </c>
      <c r="Z5" s="256">
        <v>-1.0624848920312688</v>
      </c>
      <c r="AA5" s="8">
        <v>0.21268606948582527</v>
      </c>
      <c r="AB5" s="25">
        <v>-1.1768473371080543</v>
      </c>
      <c r="AC5" s="25">
        <v>0</v>
      </c>
      <c r="AE5" t="str">
        <f ca="1">_xlfn.FORMULATEXT(AE4)</f>
        <v>=SUM(AE2:AE3)</v>
      </c>
      <c r="AI5" t="str">
        <f ca="1">_xlfn.FORMULATEXT(AI4)</f>
        <v>=SUM(SUMSQ(M17:O21))</v>
      </c>
      <c r="AL5" t="str">
        <f ca="1">_xlfn.FORMULATEXT(AL4)</f>
        <v>=SQRT(AI4)</v>
      </c>
    </row>
    <row r="6" spans="1:52" x14ac:dyDescent="0.3">
      <c r="A6" s="2" t="s">
        <v>362</v>
      </c>
      <c r="B6" s="8">
        <v>10</v>
      </c>
      <c r="C6" s="8">
        <v>11</v>
      </c>
      <c r="D6" s="8">
        <v>20</v>
      </c>
      <c r="F6" s="8">
        <v>1</v>
      </c>
      <c r="H6" s="25">
        <v>0.21818181818181817</v>
      </c>
      <c r="M6" s="8">
        <v>0</v>
      </c>
      <c r="N6" s="8">
        <v>0</v>
      </c>
      <c r="O6" s="8">
        <v>0</v>
      </c>
      <c r="P6" s="8">
        <v>0</v>
      </c>
      <c r="Q6" s="25">
        <f>1/SQRT(H6)</f>
        <v>2.1408720964441885</v>
      </c>
      <c r="S6" s="8">
        <v>0</v>
      </c>
      <c r="T6" s="8">
        <v>0</v>
      </c>
      <c r="U6" s="8">
        <v>0</v>
      </c>
      <c r="X6" s="2" t="s">
        <v>412</v>
      </c>
      <c r="Y6" s="256">
        <v>-0.71242490713043793</v>
      </c>
      <c r="Z6" s="256">
        <v>-0.74799377968273506</v>
      </c>
      <c r="AA6" s="8">
        <v>1.8751771624541127</v>
      </c>
      <c r="AB6" s="25">
        <v>0</v>
      </c>
      <c r="AC6" s="8">
        <v>0</v>
      </c>
    </row>
    <row r="7" spans="1:52" x14ac:dyDescent="0.3">
      <c r="A7" s="2" t="s">
        <v>412</v>
      </c>
      <c r="B7" s="8">
        <v>20</v>
      </c>
      <c r="C7" s="8">
        <v>13</v>
      </c>
      <c r="D7" s="8">
        <v>15</v>
      </c>
      <c r="H7" t="str">
        <f ca="1">_xlfn.FORMULATEXT(H2)</f>
        <v>=1/E8*MMULT(B3:D7,F2:F4)</v>
      </c>
      <c r="M7" t="str">
        <f ca="1">_xlfn.FORMULATEXT(M2)</f>
        <v>=1/SQRT(H2)</v>
      </c>
      <c r="Q7" s="26"/>
      <c r="S7" t="str">
        <f ca="1">_xlfn.FORMULATEXT(S2)</f>
        <v>=SVD_D(M17:O21)</v>
      </c>
      <c r="Y7" t="str">
        <f ca="1">_xlfn.FORMULATEXT(Y2)</f>
        <v>=MMULT(M2:Q6,S10:W14)</v>
      </c>
      <c r="AE7" t="s">
        <v>459</v>
      </c>
    </row>
    <row r="8" spans="1:52" x14ac:dyDescent="0.3">
      <c r="E8" s="112">
        <f>SUM(B3:D7)</f>
        <v>220</v>
      </c>
      <c r="Q8" s="26"/>
      <c r="AD8" s="2" t="s">
        <v>417</v>
      </c>
      <c r="AE8" s="45" cm="1">
        <f t="array" ref="AE8:AF12">MMULT(M2:Q6,MMULT(S10:W14,S2:T6))</f>
        <v>4.80615463133377E-2</v>
      </c>
      <c r="AF8" s="45">
        <v>6.3279749335190871E-2</v>
      </c>
      <c r="AK8" s="45" cm="1">
        <f t="array" ref="AK8:AL12">MMULT(Y2:AC6,S2:T6)</f>
        <v>4.8061546313337693E-2</v>
      </c>
      <c r="AL8" s="45">
        <v>6.3279749335190871E-2</v>
      </c>
      <c r="AQ8" t="s">
        <v>458</v>
      </c>
    </row>
    <row r="9" spans="1:52" ht="15.6" x14ac:dyDescent="0.35">
      <c r="E9" t="str">
        <f ca="1">_xlfn.FORMULATEXT(E8)</f>
        <v>=SUM(B3:D7)</v>
      </c>
      <c r="H9" t="s">
        <v>590</v>
      </c>
      <c r="J9" s="2"/>
      <c r="M9" t="s">
        <v>457</v>
      </c>
      <c r="S9" t="s">
        <v>456</v>
      </c>
      <c r="AD9" s="2" t="s">
        <v>415</v>
      </c>
      <c r="AE9" s="45">
        <v>6.3233652437386198E-2</v>
      </c>
      <c r="AF9" s="45">
        <v>0.26180533480730178</v>
      </c>
      <c r="AK9" s="45">
        <v>6.3233652437386198E-2</v>
      </c>
      <c r="AL9" s="45">
        <v>0.26180533480730178</v>
      </c>
      <c r="AQ9" s="8" t="s">
        <v>37</v>
      </c>
      <c r="AR9" s="8" t="s">
        <v>412</v>
      </c>
      <c r="AY9" s="8" t="s">
        <v>417</v>
      </c>
      <c r="AZ9" s="8" t="s">
        <v>415</v>
      </c>
    </row>
    <row r="10" spans="1:52" x14ac:dyDescent="0.3">
      <c r="H10" s="25" cm="1">
        <f t="array" ref="H10:J10">1/E8*MMULT(TRANSPOSE(F2:F6),B3:D7)</f>
        <v>0.34090909090909088</v>
      </c>
      <c r="I10" s="25">
        <v>0.32727272727272727</v>
      </c>
      <c r="J10" s="25">
        <v>0.33181818181818179</v>
      </c>
      <c r="M10" s="25">
        <f>1/SQRT(H10)</f>
        <v>1.7126976771553506</v>
      </c>
      <c r="N10" s="8">
        <v>0</v>
      </c>
      <c r="O10" s="8">
        <v>0</v>
      </c>
      <c r="S10" s="25" cm="1">
        <f t="array" ref="S10:W14">[2]!SVD_U(M17:O21)</f>
        <v>0.11449428479927715</v>
      </c>
      <c r="T10" s="25">
        <v>0.1831615676314704</v>
      </c>
      <c r="U10" s="25">
        <v>0.11656087641037377</v>
      </c>
      <c r="V10" s="25">
        <v>1.8695446110463837E-2</v>
      </c>
      <c r="W10" s="25">
        <v>0.96923007654336679</v>
      </c>
      <c r="X10" s="26"/>
      <c r="AD10" s="2" t="s">
        <v>37</v>
      </c>
      <c r="AE10" s="45">
        <v>-0.21252898138355625</v>
      </c>
      <c r="AF10" s="45">
        <v>-3.8089274115708317E-2</v>
      </c>
      <c r="AK10" s="45">
        <v>-0.21252898138355622</v>
      </c>
      <c r="AL10" s="45">
        <v>-3.8089274115708317E-2</v>
      </c>
      <c r="AP10" s="2" t="s">
        <v>455</v>
      </c>
      <c r="AQ10" s="254">
        <f>AE10</f>
        <v>-0.21252898138355625</v>
      </c>
      <c r="AR10" s="254">
        <f>AE12</f>
        <v>-0.12591399066287681</v>
      </c>
      <c r="AX10" s="2" t="s">
        <v>455</v>
      </c>
      <c r="AY10" s="26">
        <f>AE8</f>
        <v>4.80615463133377E-2</v>
      </c>
      <c r="AZ10" s="26">
        <f>AF8</f>
        <v>6.3279749335190871E-2</v>
      </c>
    </row>
    <row r="11" spans="1:52" x14ac:dyDescent="0.3">
      <c r="B11" t="s">
        <v>454</v>
      </c>
      <c r="H11" t="str">
        <f ca="1">_xlfn.FORMULATEXT(H10)</f>
        <v>=1/E8*MMULT(TRANSPOSE(F2:F6),B3:D7)</v>
      </c>
      <c r="M11" s="8">
        <v>0</v>
      </c>
      <c r="N11" s="25">
        <f>1/SQRT(I10)</f>
        <v>1.7480147469502527</v>
      </c>
      <c r="O11" s="8">
        <v>0</v>
      </c>
      <c r="S11" s="25">
        <v>0.15632436692174642</v>
      </c>
      <c r="T11" s="25">
        <v>0.78639444193179608</v>
      </c>
      <c r="U11" s="25">
        <v>0.37307809498540018</v>
      </c>
      <c r="V11" s="25">
        <v>-0.42000923607128049</v>
      </c>
      <c r="W11" s="25">
        <v>-0.20384172944267001</v>
      </c>
      <c r="X11" s="2" t="s">
        <v>416</v>
      </c>
      <c r="Y11" s="199" cm="1">
        <f t="array" ref="Y11:AA13">MMULT(M10:O12,S18:U20)</f>
        <v>-1.2637166513433775</v>
      </c>
      <c r="Z11" s="199">
        <v>-0.57995996279985884</v>
      </c>
      <c r="AA11">
        <v>1.3072650218374265E-16</v>
      </c>
      <c r="AD11" s="2" t="s">
        <v>362</v>
      </c>
      <c r="AE11" s="45">
        <v>0.29610016859525651</v>
      </c>
      <c r="AF11" s="45">
        <v>-0.15455182036744158</v>
      </c>
      <c r="AK11" s="45">
        <v>0.29610016859525651</v>
      </c>
      <c r="AL11" s="45">
        <v>-0.15455182036744161</v>
      </c>
      <c r="AP11" s="2" t="s">
        <v>453</v>
      </c>
      <c r="AQ11" s="254">
        <f>AF10</f>
        <v>-3.8089274115708317E-2</v>
      </c>
      <c r="AR11" s="254">
        <f>AF12</f>
        <v>-0.1088051238568459</v>
      </c>
      <c r="AX11" s="2" t="s">
        <v>453</v>
      </c>
      <c r="AY11" s="26">
        <f>AE9</f>
        <v>6.3233652437386198E-2</v>
      </c>
      <c r="AZ11" s="26">
        <f>AF9</f>
        <v>0.26180533480730178</v>
      </c>
    </row>
    <row r="12" spans="1:52" x14ac:dyDescent="0.3">
      <c r="B12" s="25" cm="1">
        <f t="array" ref="B12:D16">1/E8*B3:D7</f>
        <v>5.4545454545454543E-2</v>
      </c>
      <c r="C12" s="25">
        <v>6.363636363636363E-2</v>
      </c>
      <c r="D12" s="25">
        <v>5.909090909090909E-2</v>
      </c>
      <c r="M12" s="8">
        <v>0</v>
      </c>
      <c r="N12" s="8">
        <v>0</v>
      </c>
      <c r="O12" s="25">
        <f>1/SQRT(J10)</f>
        <v>1.7360007575277687</v>
      </c>
      <c r="S12" s="25">
        <v>-0.57326698155368838</v>
      </c>
      <c r="T12" s="25">
        <v>-0.1248317320935724</v>
      </c>
      <c r="U12" s="25">
        <v>-0.26759233487605238</v>
      </c>
      <c r="V12" s="25">
        <v>-0.75175444180720585</v>
      </c>
      <c r="W12" s="25">
        <v>0.13799133328423441</v>
      </c>
      <c r="X12" s="2" t="s">
        <v>414</v>
      </c>
      <c r="Y12" s="199">
        <v>0.13631713803579038</v>
      </c>
      <c r="Z12" s="199">
        <v>1.4272256981407274</v>
      </c>
      <c r="AA12">
        <v>6.0646444357765222E-17</v>
      </c>
      <c r="AD12" s="2" t="s">
        <v>412</v>
      </c>
      <c r="AE12" s="45">
        <v>-0.12591399066287681</v>
      </c>
      <c r="AF12" s="45">
        <v>-0.1088051238568459</v>
      </c>
      <c r="AK12" s="45">
        <v>-0.12591399066287678</v>
      </c>
      <c r="AL12" s="45">
        <v>-0.1088051238568459</v>
      </c>
    </row>
    <row r="13" spans="1:52" x14ac:dyDescent="0.3">
      <c r="B13" s="25">
        <v>4.9999999999999996E-2</v>
      </c>
      <c r="C13" s="25">
        <v>8.6363636363636365E-2</v>
      </c>
      <c r="D13" s="25">
        <v>5.4545454545454543E-2</v>
      </c>
      <c r="M13" t="str">
        <f ca="1">_xlfn.FORMULATEXT(M10)</f>
        <v>=1/SQRT(H10)</v>
      </c>
      <c r="S13" s="25">
        <v>0.72324318254946041</v>
      </c>
      <c r="T13" s="25">
        <v>-0.45867318518438971</v>
      </c>
      <c r="U13" s="8">
        <v>9.1816267381372732E-2</v>
      </c>
      <c r="V13" s="25">
        <v>-0.50804328667219545</v>
      </c>
      <c r="W13" s="25">
        <v>0</v>
      </c>
      <c r="X13" s="2" t="s">
        <v>413</v>
      </c>
      <c r="Y13" s="199">
        <v>1.1638892453722807</v>
      </c>
      <c r="Z13" s="199">
        <v>-0.81182538433072582</v>
      </c>
      <c r="AA13">
        <v>8.1309994246717409E-17</v>
      </c>
      <c r="AD13" s="26"/>
      <c r="AE13" t="str">
        <f ca="1">_xlfn.FORMULATEXT(AE8)</f>
        <v>=MMULT(M2:Q6,MMULT(S10:W14,S2:T6))</v>
      </c>
      <c r="AK13" t="str">
        <f ca="1">_xlfn.FORMULATEXT(AK8)</f>
        <v>=MMULT(Y2:AC6,S2:T6)</v>
      </c>
      <c r="AP13" s="8" t="s">
        <v>452</v>
      </c>
      <c r="AQ13" cm="1">
        <f t="array" ref="AQ13">MMULT(TRANSPOSE(AQ10:AQ11),AR10:AR11)</f>
        <v>3.0904680365296821E-2</v>
      </c>
      <c r="AR13" t="str">
        <f t="shared" ref="AR13:AR19" ca="1" si="0">_xlfn.FORMULATEXT(AQ13)</f>
        <v>=MMULT(TRANSPOSE(AQ10:AQ11),AR10:AR11)</v>
      </c>
      <c r="AY13">
        <f>DEGREES(ACOS(SUMPRODUCT(AY10:AY11,AZ10:AZ11)/(SQRT(SUMSQ(AY10:AY11))*SQRT(SUMSQ(AZ10:AZ11)))))</f>
        <v>23.649029225154731</v>
      </c>
      <c r="AZ13" t="s">
        <v>451</v>
      </c>
    </row>
    <row r="14" spans="1:52" x14ac:dyDescent="0.3">
      <c r="B14" s="25">
        <v>9.9999999999999992E-2</v>
      </c>
      <c r="C14" s="25">
        <v>6.8181818181818177E-2</v>
      </c>
      <c r="D14" s="25">
        <v>5.909090909090909E-2</v>
      </c>
      <c r="S14" s="25">
        <v>-0.33277322279725013</v>
      </c>
      <c r="T14" s="25">
        <v>-0.34938742063343758</v>
      </c>
      <c r="U14" s="8">
        <v>0.87589406465179631</v>
      </c>
      <c r="V14" s="25">
        <v>0</v>
      </c>
      <c r="W14" s="8">
        <v>0</v>
      </c>
      <c r="Y14" t="str">
        <f ca="1">_xlfn.FORMULATEXT(Y11)</f>
        <v>=MMULT(M10:O12,S18:U20)</v>
      </c>
      <c r="AQ14" s="21">
        <f>SQRT(SUMSQ(AQ10:AQ11))</f>
        <v>0.21591517021875412</v>
      </c>
      <c r="AR14" t="str">
        <f t="shared" ca="1" si="0"/>
        <v>=SQRT(SUMSQ(AQ10:AQ11))</v>
      </c>
    </row>
    <row r="15" spans="1:52" x14ac:dyDescent="0.3">
      <c r="B15" s="25">
        <v>4.5454545454545456E-2</v>
      </c>
      <c r="C15" s="25">
        <v>4.9999999999999996E-2</v>
      </c>
      <c r="D15" s="25">
        <v>9.0909090909090912E-2</v>
      </c>
      <c r="S15" t="str">
        <f ca="1">_xlfn.FORMULATEXT(S10)</f>
        <v>=SVD_U(M17:O21)</v>
      </c>
      <c r="AE15" t="s">
        <v>450</v>
      </c>
      <c r="AQ15">
        <f>SQRT(SUMSQ(AR10:AR11))</f>
        <v>0.16641180253261667</v>
      </c>
      <c r="AR15" t="str">
        <f t="shared" ca="1" si="0"/>
        <v>=SQRT(SUMSQ(AR10:AR11))</v>
      </c>
    </row>
    <row r="16" spans="1:52" ht="15.6" x14ac:dyDescent="0.35">
      <c r="B16" s="25">
        <v>9.0909090909090912E-2</v>
      </c>
      <c r="C16" s="25">
        <v>5.909090909090909E-2</v>
      </c>
      <c r="D16" s="25">
        <v>6.8181818181818177E-2</v>
      </c>
      <c r="M16" t="s">
        <v>592</v>
      </c>
      <c r="AD16" s="8" t="s">
        <v>416</v>
      </c>
      <c r="AE16" s="280" cm="1">
        <f t="array" ref="AE16:AF18">MMULT(M10:O12,MMULT(S18:T20,TRANSPOSE(S2:T3)))</f>
        <v>-0.22334930326718455</v>
      </c>
      <c r="AF16" s="280">
        <v>-8.4362487093429639E-2</v>
      </c>
      <c r="AK16" s="280" cm="1">
        <f t="array" ref="AK16:AL18">MMULT(Y11:Z13,TRANSPOSE(S2:T3))</f>
        <v>-0.22334930326718455</v>
      </c>
      <c r="AL16" s="280">
        <v>-8.4362487093429639E-2</v>
      </c>
      <c r="AP16" s="8" t="s">
        <v>449</v>
      </c>
      <c r="AQ16" s="26">
        <f>AQ13/(AQ14*AQ15)</f>
        <v>0.8601158968101007</v>
      </c>
      <c r="AR16" t="str">
        <f t="shared" ca="1" si="0"/>
        <v>=AQ13/(AQ14*AQ15)</v>
      </c>
    </row>
    <row r="17" spans="1:52" x14ac:dyDescent="0.3">
      <c r="B17" t="str">
        <f ca="1">_xlfn.FORMULATEXT(B12)</f>
        <v>=1/E8*B3:D7</v>
      </c>
      <c r="M17" s="46" cm="1">
        <f t="array" ref="M17:O21">MMULT(M2:Q6,MMULT(B12:D16-MMULT(H2:H6,H10:J10),M10:O12))</f>
        <v>-2.395296301881672E-2</v>
      </c>
      <c r="N17" s="46">
        <v>2.3331769188434062E-2</v>
      </c>
      <c r="O17" s="46">
        <v>1.1074571666213572E-3</v>
      </c>
      <c r="S17" t="s">
        <v>15</v>
      </c>
      <c r="AD17" s="8" t="s">
        <v>414</v>
      </c>
      <c r="AE17" s="280">
        <v>2.4092693382891505E-2</v>
      </c>
      <c r="AF17" s="280">
        <v>0.20760796824238562</v>
      </c>
      <c r="AK17" s="280">
        <v>2.4092693382891505E-2</v>
      </c>
      <c r="AL17" s="280">
        <v>0.20760796824238559</v>
      </c>
      <c r="AP17" s="279" t="s">
        <v>448</v>
      </c>
      <c r="AQ17" s="26">
        <f>ACOS(AQ16)</f>
        <v>0.53529949312382752</v>
      </c>
      <c r="AR17" t="str">
        <f t="shared" ca="1" si="0"/>
        <v>=ACOS(AQ16)</v>
      </c>
    </row>
    <row r="18" spans="1:52" x14ac:dyDescent="0.3">
      <c r="M18" s="46">
        <v>-5.9121426241233267E-2</v>
      </c>
      <c r="N18" s="46">
        <v>9.5552985270002777E-2</v>
      </c>
      <c r="O18" s="46">
        <v>-3.4970419576353128E-2</v>
      </c>
      <c r="S18" s="25" cm="1">
        <f t="array" ref="S18:U20">[2]!SVD_V(M17:O21)</f>
        <v>-0.73785155909261613</v>
      </c>
      <c r="T18" s="25">
        <v>-0.33862366402173466</v>
      </c>
      <c r="U18" s="8">
        <v>7.6327832942979512E-17</v>
      </c>
      <c r="AD18" s="8" t="s">
        <v>413</v>
      </c>
      <c r="AE18" s="280">
        <v>0.20570580577357078</v>
      </c>
      <c r="AF18" s="280">
        <v>-0.11809023536225402</v>
      </c>
      <c r="AK18" s="280">
        <v>0.20570580577357078</v>
      </c>
      <c r="AL18" s="280">
        <v>-0.11809023536225401</v>
      </c>
      <c r="AP18" s="279" t="s">
        <v>447</v>
      </c>
      <c r="AQ18" s="221">
        <f>DEGREES(AQ17)</f>
        <v>30.670401731487548</v>
      </c>
      <c r="AR18" t="str">
        <f t="shared" ca="1" si="0"/>
        <v>=DEGREES(AQ17)</v>
      </c>
    </row>
    <row r="19" spans="1:52" x14ac:dyDescent="0.3">
      <c r="M19" s="46">
        <v>8.0907388473747385E-2</v>
      </c>
      <c r="N19" s="46">
        <v>-2.2727272727272752E-2</v>
      </c>
      <c r="O19" s="46">
        <v>-5.9437150181442737E-2</v>
      </c>
      <c r="S19" s="25">
        <v>7.7983974834092099E-2</v>
      </c>
      <c r="T19" s="25">
        <v>0.81648378575226366</v>
      </c>
      <c r="U19" s="8">
        <v>3.4694469519536142E-17</v>
      </c>
      <c r="AE19" t="str">
        <f ca="1">_xlfn.FORMULATEXT(AE16)</f>
        <v>=MMULT(M10:O12,MMULT(S18:T20,TRANSPOSE(S2:T3)))</v>
      </c>
      <c r="AK19" t="str">
        <f ca="1">_xlfn.FORMULATEXT(AK16)</f>
        <v>=MMULT(Y11:Z13,TRANSPOSE(S2:T3))</v>
      </c>
      <c r="AP19" t="s">
        <v>446</v>
      </c>
      <c r="AQ19" s="21">
        <f>DEGREES(ACOS(SUMPRODUCT(AQ10:AQ11,AR10:AR11)/(SQRT(SUMSQ(AQ10:AQ11))*SQRT(SUMSQ(AR10:AR11)))))</f>
        <v>30.670401731487548</v>
      </c>
      <c r="AR19" t="str">
        <f t="shared" ca="1" si="0"/>
        <v>=DEGREES(ACOS(SUMPRODUCT(AQ10:AQ11,AR10:AR11)/(SQRT(SUMSQ(AQ10:AQ11))*SQRT(SUMSQ(AR10:AR11)))))</v>
      </c>
    </row>
    <row r="20" spans="1:52" x14ac:dyDescent="0.3">
      <c r="M20" s="46">
        <v>-7.1723720939454783E-2</v>
      </c>
      <c r="N20" s="46">
        <v>-4.4507251418044208E-2</v>
      </c>
      <c r="O20" s="46">
        <v>0.11690095476592076</v>
      </c>
      <c r="S20" s="25">
        <v>0.6704428211366511</v>
      </c>
      <c r="T20" s="25">
        <v>-0.46764114635920029</v>
      </c>
      <c r="U20" s="8">
        <v>4.6837533851373792E-17</v>
      </c>
      <c r="AF20" s="11"/>
    </row>
    <row r="21" spans="1:52" x14ac:dyDescent="0.3">
      <c r="M21" s="46">
        <v>6.060606060606067E-2</v>
      </c>
      <c r="N21" s="46">
        <v>-4.6082572181148147E-2</v>
      </c>
      <c r="O21" s="46">
        <v>-1.5664821044715321E-2</v>
      </c>
      <c r="S21" t="str">
        <f ca="1">_xlfn.FORMULATEXT(S18)</f>
        <v>=SVD_V(M17:O21)</v>
      </c>
      <c r="AQ21">
        <f>AQ10*AR10+AQ11*AR11</f>
        <v>3.0904680365296821E-2</v>
      </c>
      <c r="AR21" t="str">
        <f ca="1">_xlfn.FORMULATEXT(AQ21)</f>
        <v>=AQ10*AR10+AQ11*AR11</v>
      </c>
      <c r="AY21">
        <f>AY10*AZ10+AY11*AZ11</f>
        <v>1.9596230150828124E-2</v>
      </c>
      <c r="AZ21" t="str">
        <f ca="1">_xlfn.FORMULATEXT(AY21)</f>
        <v>=AY10*AZ10+AY11*AZ11</v>
      </c>
    </row>
    <row r="22" spans="1:52" x14ac:dyDescent="0.3">
      <c r="M22" t="str">
        <f ca="1">_xlfn.FORMULATEXT(M17)</f>
        <v>=MMULT(M2:Q6,MMULT(B12:D16-MMULT(H2:H6,H10:J10),M10:O12))</v>
      </c>
      <c r="AQ22">
        <f>SUMPRODUCT(AQ10:AQ11,AR10:AR11)</f>
        <v>3.0904680365296821E-2</v>
      </c>
      <c r="AR22" t="str">
        <f ca="1">_xlfn.FORMULATEXT(AQ22)</f>
        <v>=SUMPRODUCT(AQ10:AQ11,AR10:AR11)</v>
      </c>
      <c r="AY22">
        <f>SUMPRODUCT(AY10:AY11,AZ10:AZ11)</f>
        <v>1.9596230150828124E-2</v>
      </c>
      <c r="AZ22" t="str">
        <f ca="1">_xlfn.FORMULATEXT(AY22)</f>
        <v>=SUMPRODUCT(AY10:AY11,AZ10:AZ11)</v>
      </c>
    </row>
    <row r="23" spans="1:52" x14ac:dyDescent="0.3">
      <c r="AQ23" cm="1">
        <f t="array" ref="AQ23">MMULT(TRANSPOSE(AQ10:AQ11),AR10:AR11)</f>
        <v>3.0904680365296821E-2</v>
      </c>
      <c r="AR23" t="str">
        <f ca="1">_xlfn.FORMULATEXT(AQ23)</f>
        <v>=MMULT(TRANSPOSE(AQ10:AQ11),AR10:AR11)</v>
      </c>
      <c r="AY23" cm="1">
        <f t="array" ref="AY23">MMULT(TRANSPOSE(AY10:AY11),AZ10:AZ11)</f>
        <v>1.9596230150828124E-2</v>
      </c>
      <c r="AZ23" t="str">
        <f ca="1">_xlfn.FORMULATEXT(AY23)</f>
        <v>=MMULT(TRANSPOSE(AY10:AY11),AZ10:AZ11)</v>
      </c>
    </row>
    <row r="26" spans="1:52" x14ac:dyDescent="0.3">
      <c r="B26" s="8" t="s">
        <v>416</v>
      </c>
      <c r="C26" s="8" t="s">
        <v>414</v>
      </c>
      <c r="D26" s="8" t="s">
        <v>413</v>
      </c>
      <c r="AD26" t="str">
        <f t="shared" ref="AD26:AF30" si="1">AD8</f>
        <v>A</v>
      </c>
      <c r="AE26" s="26">
        <f t="shared" si="1"/>
        <v>4.80615463133377E-2</v>
      </c>
      <c r="AF26" s="26">
        <f t="shared" si="1"/>
        <v>6.3279749335190871E-2</v>
      </c>
    </row>
    <row r="27" spans="1:52" x14ac:dyDescent="0.3">
      <c r="A27" s="2" t="s">
        <v>417</v>
      </c>
      <c r="B27" s="325">
        <f t="shared" ref="B27:D31" si="2">B3</f>
        <v>12</v>
      </c>
      <c r="C27" s="310">
        <f t="shared" si="2"/>
        <v>14</v>
      </c>
      <c r="D27" s="309">
        <f t="shared" si="2"/>
        <v>13</v>
      </c>
      <c r="E27">
        <f>SUM(B27:D27)</f>
        <v>39</v>
      </c>
      <c r="F27" t="str">
        <f ca="1">_xlfn.FORMULATEXT(E27)</f>
        <v>=SUM(B27:D27)</v>
      </c>
      <c r="AD27" t="str">
        <f t="shared" si="1"/>
        <v>B</v>
      </c>
      <c r="AE27" s="26">
        <f t="shared" si="1"/>
        <v>6.3233652437386198E-2</v>
      </c>
      <c r="AF27" s="26">
        <f t="shared" si="1"/>
        <v>0.26180533480730178</v>
      </c>
    </row>
    <row r="28" spans="1:52" x14ac:dyDescent="0.3">
      <c r="A28" s="2" t="s">
        <v>415</v>
      </c>
      <c r="B28" s="10">
        <f t="shared" si="2"/>
        <v>11</v>
      </c>
      <c r="C28">
        <f t="shared" si="2"/>
        <v>19</v>
      </c>
      <c r="D28" s="306">
        <f t="shared" si="2"/>
        <v>12</v>
      </c>
      <c r="E28">
        <f>SUM(B28:D28)</f>
        <v>42</v>
      </c>
      <c r="AD28" t="str">
        <f t="shared" si="1"/>
        <v>C</v>
      </c>
      <c r="AE28" s="26">
        <f t="shared" si="1"/>
        <v>-0.21252898138355625</v>
      </c>
      <c r="AF28" s="26">
        <f t="shared" si="1"/>
        <v>-3.8089274115708317E-2</v>
      </c>
    </row>
    <row r="29" spans="1:52" x14ac:dyDescent="0.3">
      <c r="A29" s="2" t="s">
        <v>37</v>
      </c>
      <c r="B29" s="10">
        <f t="shared" si="2"/>
        <v>22</v>
      </c>
      <c r="C29">
        <f t="shared" si="2"/>
        <v>15</v>
      </c>
      <c r="D29" s="306">
        <f t="shared" si="2"/>
        <v>13</v>
      </c>
      <c r="E29">
        <f>SUM(B29:D29)</f>
        <v>50</v>
      </c>
      <c r="AD29" t="str">
        <f t="shared" si="1"/>
        <v>D</v>
      </c>
      <c r="AE29" s="26">
        <f t="shared" si="1"/>
        <v>0.29610016859525651</v>
      </c>
      <c r="AF29" s="26">
        <f t="shared" si="1"/>
        <v>-0.15455182036744158</v>
      </c>
    </row>
    <row r="30" spans="1:52" x14ac:dyDescent="0.3">
      <c r="A30" s="2" t="s">
        <v>362</v>
      </c>
      <c r="B30" s="10">
        <f t="shared" si="2"/>
        <v>10</v>
      </c>
      <c r="C30">
        <f t="shared" si="2"/>
        <v>11</v>
      </c>
      <c r="D30" s="306">
        <f t="shared" si="2"/>
        <v>20</v>
      </c>
      <c r="E30">
        <f>SUM(B30:D30)</f>
        <v>41</v>
      </c>
      <c r="AD30" t="str">
        <f t="shared" si="1"/>
        <v>E</v>
      </c>
      <c r="AE30" s="26">
        <f t="shared" si="1"/>
        <v>-0.12591399066287681</v>
      </c>
      <c r="AF30" s="26">
        <f t="shared" si="1"/>
        <v>-0.1088051238568459</v>
      </c>
    </row>
    <row r="31" spans="1:52" x14ac:dyDescent="0.3">
      <c r="A31" s="2" t="s">
        <v>412</v>
      </c>
      <c r="B31" s="248">
        <f t="shared" si="2"/>
        <v>20</v>
      </c>
      <c r="C31" s="223">
        <f t="shared" si="2"/>
        <v>13</v>
      </c>
      <c r="D31" s="247">
        <f t="shared" si="2"/>
        <v>15</v>
      </c>
      <c r="E31">
        <f>SUM(B31:D31)</f>
        <v>48</v>
      </c>
      <c r="AD31" t="str">
        <f t="shared" ref="AD31:AF33" si="3">AD16</f>
        <v>Salty</v>
      </c>
      <c r="AE31" s="26">
        <f t="shared" si="3"/>
        <v>-0.22334930326718455</v>
      </c>
      <c r="AF31" s="26">
        <f t="shared" si="3"/>
        <v>-8.4362487093429639E-2</v>
      </c>
    </row>
    <row r="32" spans="1:52" x14ac:dyDescent="0.3">
      <c r="B32">
        <f>SUM(B27:B31)</f>
        <v>75</v>
      </c>
      <c r="C32">
        <f>SUM(C27:C31)</f>
        <v>72</v>
      </c>
      <c r="D32">
        <f>SUM(D27:D31)</f>
        <v>73</v>
      </c>
      <c r="E32">
        <f>SUM(E27:E31)</f>
        <v>220</v>
      </c>
      <c r="AD32" t="str">
        <f t="shared" si="3"/>
        <v>Sweet</v>
      </c>
      <c r="AE32" s="26">
        <f t="shared" si="3"/>
        <v>2.4092693382891505E-2</v>
      </c>
      <c r="AF32" s="26">
        <f t="shared" si="3"/>
        <v>0.20760796824238562</v>
      </c>
    </row>
    <row r="33" spans="1:32" x14ac:dyDescent="0.3">
      <c r="B33" t="str">
        <f ca="1">_xlfn.FORMULATEXT(B32)</f>
        <v>=SUM(B27:B31)</v>
      </c>
      <c r="AD33" t="str">
        <f t="shared" si="3"/>
        <v>Bland</v>
      </c>
      <c r="AE33" s="26">
        <f t="shared" si="3"/>
        <v>0.20570580577357078</v>
      </c>
      <c r="AF33" s="26">
        <f t="shared" si="3"/>
        <v>-0.11809023536225402</v>
      </c>
    </row>
    <row r="35" spans="1:32" x14ac:dyDescent="0.3">
      <c r="B35" t="s">
        <v>445</v>
      </c>
      <c r="E35" t="s">
        <v>36</v>
      </c>
      <c r="F35" t="s">
        <v>444</v>
      </c>
      <c r="I35" t="s">
        <v>443</v>
      </c>
      <c r="N35" t="s">
        <v>442</v>
      </c>
      <c r="R35" t="s">
        <v>441</v>
      </c>
    </row>
    <row r="36" spans="1:32" x14ac:dyDescent="0.3">
      <c r="A36" s="2" t="s">
        <v>417</v>
      </c>
      <c r="B36" s="337" cm="1">
        <f t="array" ref="B36:D40">B27:D31/E27:E31</f>
        <v>0.30769230769230771</v>
      </c>
      <c r="C36" s="327">
        <v>0.35897435897435898</v>
      </c>
      <c r="D36" s="326">
        <v>0.33333333333333331</v>
      </c>
      <c r="E36" s="26">
        <f>SUM(B36:D36)</f>
        <v>1</v>
      </c>
      <c r="F36" s="26">
        <f>AVERAGE(B36:D36)</f>
        <v>0.33333333333333331</v>
      </c>
      <c r="I36" s="26">
        <f>SUMXMY2($B$36:$D$36,B37:D37)</f>
        <v>1.3088864737216386E-2</v>
      </c>
      <c r="L36" s="26"/>
      <c r="M36" s="26"/>
      <c r="N36" s="26" cm="1">
        <f t="array" ref="N36:N40">E27:E31/E32</f>
        <v>0.17727272727272728</v>
      </c>
      <c r="R36" s="26" cm="1">
        <f t="array" ref="R36:R40">N36*B36:B40</f>
        <v>5.454545454545455E-2</v>
      </c>
      <c r="S36" s="26" cm="1">
        <f t="array" ref="S36:S40">N37*C36:C40</f>
        <v>6.8531468531468534E-2</v>
      </c>
      <c r="T36" s="26" cm="1">
        <f t="array" ref="T36:T40">N38*D36:D40</f>
        <v>7.5757575757575746E-2</v>
      </c>
    </row>
    <row r="37" spans="1:32" x14ac:dyDescent="0.3">
      <c r="A37" s="2" t="s">
        <v>415</v>
      </c>
      <c r="B37" s="161">
        <v>0.26190476190476192</v>
      </c>
      <c r="C37" s="26">
        <v>0.45238095238095238</v>
      </c>
      <c r="D37" s="322">
        <v>0.2857142857142857</v>
      </c>
      <c r="E37" s="26">
        <f>SUM(B37:D37)</f>
        <v>1</v>
      </c>
      <c r="F37" s="26">
        <f>AVERAGE(B37:D37)</f>
        <v>0.33333333333333331</v>
      </c>
      <c r="I37" s="26">
        <f>SUMXMY2($B$36:$D$36,B38:D38)</f>
        <v>2.6361078238001309E-2</v>
      </c>
      <c r="J37" s="26">
        <f>SUMXMY2($B$37:$D$37,B38:D38)</f>
        <v>5.5599092970521541E-2</v>
      </c>
      <c r="L37" s="26"/>
      <c r="M37" s="26"/>
      <c r="N37" s="26">
        <v>0.19090909090909092</v>
      </c>
      <c r="R37" s="26">
        <v>4.642857142857143E-2</v>
      </c>
      <c r="S37" s="26">
        <v>8.6363636363636365E-2</v>
      </c>
      <c r="T37" s="26">
        <v>6.4935064935064929E-2</v>
      </c>
    </row>
    <row r="38" spans="1:32" x14ac:dyDescent="0.3">
      <c r="A38" s="2" t="s">
        <v>37</v>
      </c>
      <c r="B38" s="161">
        <v>0.44</v>
      </c>
      <c r="C38" s="26">
        <v>0.3</v>
      </c>
      <c r="D38" s="322">
        <v>0.26</v>
      </c>
      <c r="E38" s="26">
        <f>SUM(B38:D38)</f>
        <v>1</v>
      </c>
      <c r="F38" s="26">
        <f>AVERAGE(B38:D38)</f>
        <v>0.33333333333333331</v>
      </c>
      <c r="I38" s="26">
        <f>SUMXMY2($B$36:$D$36,B39:D39)</f>
        <v>3.6153771842235671E-2</v>
      </c>
      <c r="J38" s="26">
        <f>SUMXMY2($B$37:$D$37,B39:D39)</f>
        <v>7.5053182089809933E-2</v>
      </c>
      <c r="K38" s="26">
        <f>SUMXMY2($B$38:$D$38,B39:D39)</f>
        <v>9.1354669839381314E-2</v>
      </c>
      <c r="L38" s="26"/>
      <c r="M38" s="26"/>
      <c r="N38" s="26">
        <v>0.22727272727272727</v>
      </c>
      <c r="R38" s="26">
        <v>7.8E-2</v>
      </c>
      <c r="S38" s="26">
        <v>5.7272727272727274E-2</v>
      </c>
      <c r="T38" s="26">
        <v>5.909090909090909E-2</v>
      </c>
    </row>
    <row r="39" spans="1:32" x14ac:dyDescent="0.3">
      <c r="A39" s="2" t="s">
        <v>362</v>
      </c>
      <c r="B39" s="161">
        <v>0.24390243902439024</v>
      </c>
      <c r="C39" s="26">
        <v>0.26829268292682928</v>
      </c>
      <c r="D39" s="322">
        <v>0.48780487804878048</v>
      </c>
      <c r="E39" s="26">
        <f>SUM(B39:D39)</f>
        <v>1</v>
      </c>
      <c r="F39" s="26">
        <f>AVERAGE(B39:D39)</f>
        <v>0.33333333333333331</v>
      </c>
      <c r="I39" s="26">
        <f>SUMXMY2($B$36:$D$36,B40:D40)</f>
        <v>2.0078279092702173E-2</v>
      </c>
      <c r="J39" s="26">
        <f>SUMXMY2($B$37:$D$37,B40:D40)</f>
        <v>5.762825963718822E-2</v>
      </c>
      <c r="K39" s="26">
        <f>SUMXMY2($B$38:$D$38,B40:D40)</f>
        <v>4.1513888888888876E-3</v>
      </c>
      <c r="L39" s="26">
        <f>SUMXMY2($B$39:$D$39,B40:D40)</f>
        <v>6.0585733525018184E-2</v>
      </c>
      <c r="M39" s="26"/>
      <c r="N39" s="26">
        <v>0.18636363636363637</v>
      </c>
      <c r="R39" s="26">
        <v>4.3237250554323724E-2</v>
      </c>
      <c r="S39" s="26">
        <v>5.1219512195121955E-2</v>
      </c>
      <c r="T39" s="26">
        <v>0.11086474501108647</v>
      </c>
    </row>
    <row r="40" spans="1:32" x14ac:dyDescent="0.3">
      <c r="A40" s="2" t="s">
        <v>412</v>
      </c>
      <c r="B40" s="253">
        <v>0.41666666666666669</v>
      </c>
      <c r="C40" s="224">
        <v>0.27083333333333331</v>
      </c>
      <c r="D40" s="252">
        <v>0.3125</v>
      </c>
      <c r="E40" s="26">
        <f>SUM(B40:D40)</f>
        <v>1</v>
      </c>
      <c r="F40" s="26">
        <f>AVERAGE(B40:D40)</f>
        <v>0.33333333333333331</v>
      </c>
      <c r="I40" s="26" t="str">
        <f ca="1">_xlfn.FORMULATEXT(I36)</f>
        <v>=SUMXMY2($B$36:$D$36,B37:D37)</v>
      </c>
      <c r="N40" s="26">
        <v>0.21818181818181817</v>
      </c>
      <c r="R40" s="26">
        <v>7.3863636363636367E-2</v>
      </c>
      <c r="S40" s="26">
        <v>5.1704545454545454E-2</v>
      </c>
      <c r="T40" s="26">
        <v>7.1022727272727265E-2</v>
      </c>
    </row>
    <row r="41" spans="1:32" x14ac:dyDescent="0.3">
      <c r="B41" s="26" t="str">
        <f ca="1">_xlfn.FORMULATEXT(B36)</f>
        <v>=B27:D31/E27:E31</v>
      </c>
      <c r="F41" s="26" t="str">
        <f ca="1">_xlfn.FORMULATEXT(F36)</f>
        <v>=AVERAGE(B36:D36)</v>
      </c>
      <c r="L41" s="26"/>
      <c r="M41" s="26"/>
      <c r="N41" t="str">
        <f ca="1">_xlfn.FORMULATEXT(N36)</f>
        <v>=E27:E31/E32</v>
      </c>
      <c r="R41" t="str">
        <f ca="1">_xlfn.FORMULATEXT(R36)</f>
        <v>=N36*B36:B40</v>
      </c>
    </row>
    <row r="43" spans="1:32" x14ac:dyDescent="0.3">
      <c r="B43" t="s">
        <v>440</v>
      </c>
      <c r="I43" t="s">
        <v>439</v>
      </c>
      <c r="N43" t="s">
        <v>438</v>
      </c>
      <c r="R43" t="s">
        <v>437</v>
      </c>
    </row>
    <row r="44" spans="1:32" x14ac:dyDescent="0.3">
      <c r="B44" s="26" cm="1">
        <f t="array" ref="B44:D48">B27:D31/B32:D32</f>
        <v>0.16</v>
      </c>
      <c r="C44" s="26">
        <v>0.19444444444444445</v>
      </c>
      <c r="D44" s="26">
        <v>0.17808219178082191</v>
      </c>
      <c r="I44">
        <f>SUMXMY2($B$44:$B$48,C44:C48)</f>
        <v>2.9945679012345676E-2</v>
      </c>
      <c r="N44" s="26" cm="1">
        <f t="array" ref="N44:P44">B32:D32/E32</f>
        <v>0.34090909090909088</v>
      </c>
      <c r="O44" s="26">
        <v>0.32727272727272727</v>
      </c>
      <c r="P44" s="26">
        <v>0.33181818181818185</v>
      </c>
      <c r="R44" s="26" cm="1">
        <f t="array" ref="R44:R48">N44*B44:B48</f>
        <v>5.4545454545454543E-2</v>
      </c>
      <c r="S44" s="26" cm="1">
        <f t="array" ref="S44:S48">O44*C44:C48</f>
        <v>6.3636363636363644E-2</v>
      </c>
      <c r="T44" s="26" cm="1">
        <f t="array" ref="T44:T48">P44*D44:D48</f>
        <v>5.909090909090909E-2</v>
      </c>
    </row>
    <row r="45" spans="1:32" x14ac:dyDescent="0.3">
      <c r="B45" s="26">
        <v>0.14666666666666667</v>
      </c>
      <c r="C45" s="26">
        <v>0.2638888888888889</v>
      </c>
      <c r="D45" s="26">
        <v>0.16438356164383561</v>
      </c>
      <c r="I45">
        <f>SUMXMY2($B$44:$B$48,D44:D48)</f>
        <v>3.744695898751068E-2</v>
      </c>
      <c r="J45">
        <f>SUMXMY2($C$44:$C$48,D44:D48)</f>
        <v>2.6393551241865498E-2</v>
      </c>
      <c r="N45" t="str">
        <f ca="1">_xlfn.FORMULATEXT(N44)</f>
        <v>=B32:D32/E32</v>
      </c>
      <c r="R45" s="26">
        <v>4.9999999999999996E-2</v>
      </c>
      <c r="S45" s="26">
        <v>8.6363636363636365E-2</v>
      </c>
      <c r="T45" s="26">
        <v>5.454545454545455E-2</v>
      </c>
    </row>
    <row r="46" spans="1:32" x14ac:dyDescent="0.3">
      <c r="B46" s="26">
        <v>0.29333333333333333</v>
      </c>
      <c r="C46" s="26">
        <v>0.20833333333333334</v>
      </c>
      <c r="D46" s="26">
        <v>0.17808219178082191</v>
      </c>
      <c r="I46" t="str">
        <f ca="1">_xlfn.FORMULATEXT(I44)</f>
        <v>=SUMXMY2($B$44:$B$48,C44:C48)</v>
      </c>
      <c r="R46" s="26">
        <v>9.9999999999999992E-2</v>
      </c>
      <c r="S46" s="26">
        <v>6.8181818181818191E-2</v>
      </c>
      <c r="T46" s="26">
        <v>5.909090909090909E-2</v>
      </c>
    </row>
    <row r="47" spans="1:32" x14ac:dyDescent="0.3">
      <c r="B47" s="26">
        <v>0.13333333333333333</v>
      </c>
      <c r="C47" s="26">
        <v>0.15277777777777779</v>
      </c>
      <c r="D47" s="26">
        <v>0.27397260273972601</v>
      </c>
      <c r="R47" s="26">
        <v>4.5454545454545449E-2</v>
      </c>
      <c r="S47" s="26">
        <v>0.05</v>
      </c>
      <c r="T47" s="26">
        <v>9.0909090909090912E-2</v>
      </c>
    </row>
    <row r="48" spans="1:32" x14ac:dyDescent="0.3">
      <c r="B48" s="26">
        <v>0.26666666666666666</v>
      </c>
      <c r="C48" s="26">
        <v>0.18055555555555555</v>
      </c>
      <c r="D48" s="26">
        <v>0.20547945205479451</v>
      </c>
      <c r="R48" s="26">
        <v>9.0909090909090898E-2</v>
      </c>
      <c r="S48" s="26">
        <v>5.909090909090909E-2</v>
      </c>
      <c r="T48" s="26">
        <v>6.8181818181818177E-2</v>
      </c>
    </row>
    <row r="49" spans="1:18" x14ac:dyDescent="0.3">
      <c r="B49" t="str">
        <f ca="1">_xlfn.FORMULATEXT(B44)</f>
        <v>=B27:D31/B32:D32</v>
      </c>
      <c r="R49" t="str">
        <f ca="1">_xlfn.FORMULATEXT(R44)</f>
        <v>=N44*B44:B48</v>
      </c>
    </row>
    <row r="50" spans="1:18" x14ac:dyDescent="0.3">
      <c r="A50" t="s">
        <v>36</v>
      </c>
      <c r="B50" s="26">
        <f>SUM(B44:B48)</f>
        <v>1</v>
      </c>
      <c r="C50" s="26">
        <f>SUM(C44:C48)</f>
        <v>1</v>
      </c>
      <c r="D50" s="26">
        <f>SUM(D44:D48)</f>
        <v>1</v>
      </c>
    </row>
    <row r="51" spans="1:18" x14ac:dyDescent="0.3">
      <c r="A51" t="s">
        <v>40</v>
      </c>
      <c r="B51" s="26">
        <f>AVERAGE(B44:B48)</f>
        <v>0.2</v>
      </c>
      <c r="C51" s="26">
        <f>AVERAGE(C44:C48)</f>
        <v>0.2</v>
      </c>
      <c r="D51" s="26">
        <f>AVERAGE(D44:D48)</f>
        <v>0.2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7E5A8-C6D6-497C-8405-200D02E6FD78}">
  <dimension ref="A1:AF19"/>
  <sheetViews>
    <sheetView workbookViewId="0">
      <selection activeCell="E1" sqref="E1"/>
    </sheetView>
  </sheetViews>
  <sheetFormatPr defaultRowHeight="14.4" x14ac:dyDescent="0.3"/>
  <sheetData>
    <row r="1" spans="1:32" x14ac:dyDescent="0.3">
      <c r="A1" t="s">
        <v>429</v>
      </c>
      <c r="C1" t="s">
        <v>436</v>
      </c>
      <c r="G1" t="s">
        <v>481</v>
      </c>
    </row>
    <row r="2" spans="1:32" x14ac:dyDescent="0.3">
      <c r="B2" s="8" t="s">
        <v>416</v>
      </c>
      <c r="C2" s="8" t="s">
        <v>414</v>
      </c>
      <c r="D2" s="8" t="s">
        <v>413</v>
      </c>
    </row>
    <row r="3" spans="1:32" x14ac:dyDescent="0.3">
      <c r="A3" s="2" t="s">
        <v>417</v>
      </c>
      <c r="B3" s="8">
        <v>12</v>
      </c>
      <c r="C3" s="8">
        <v>14</v>
      </c>
      <c r="D3" s="8">
        <v>13</v>
      </c>
      <c r="G3" t="s">
        <v>480</v>
      </c>
      <c r="M3" t="s">
        <v>45</v>
      </c>
      <c r="R3" t="s">
        <v>479</v>
      </c>
      <c r="AD3" t="s">
        <v>478</v>
      </c>
    </row>
    <row r="4" spans="1:32" ht="15" thickBot="1" x14ac:dyDescent="0.35">
      <c r="A4" s="2" t="s">
        <v>415</v>
      </c>
      <c r="B4" s="8">
        <v>11</v>
      </c>
      <c r="C4" s="8">
        <v>19</v>
      </c>
      <c r="D4" s="8">
        <v>12</v>
      </c>
    </row>
    <row r="5" spans="1:32" ht="15" thickTop="1" x14ac:dyDescent="0.3">
      <c r="A5" s="2" t="s">
        <v>37</v>
      </c>
      <c r="B5" s="8">
        <v>22</v>
      </c>
      <c r="C5" s="8">
        <v>15</v>
      </c>
      <c r="D5" s="8">
        <v>13</v>
      </c>
      <c r="H5" s="8" t="str">
        <f>B2</f>
        <v>Salty</v>
      </c>
      <c r="I5" s="8" t="str">
        <f>C2</f>
        <v>Sweet</v>
      </c>
      <c r="J5" s="8" t="str">
        <f>D2</f>
        <v>Bland</v>
      </c>
      <c r="N5" s="8" t="s">
        <v>117</v>
      </c>
      <c r="O5" s="8" t="s">
        <v>106</v>
      </c>
      <c r="P5" s="8" t="s">
        <v>477</v>
      </c>
      <c r="R5" s="281"/>
      <c r="S5" s="281" t="s">
        <v>475</v>
      </c>
      <c r="T5" s="281" t="s">
        <v>474</v>
      </c>
      <c r="U5" s="281" t="s">
        <v>363</v>
      </c>
      <c r="V5" s="281" t="s">
        <v>473</v>
      </c>
      <c r="W5" s="281" t="s">
        <v>472</v>
      </c>
      <c r="X5" s="281" t="s">
        <v>471</v>
      </c>
      <c r="Y5" s="281" t="s">
        <v>470</v>
      </c>
      <c r="Z5" s="281" t="s">
        <v>469</v>
      </c>
      <c r="AA5" s="281" t="s">
        <v>468</v>
      </c>
      <c r="AB5" s="281" t="s">
        <v>467</v>
      </c>
      <c r="AD5" t="str">
        <f>R6</f>
        <v>A</v>
      </c>
      <c r="AE5" s="118">
        <f t="shared" ref="AE5:AF9" si="0">W6</f>
        <v>4.8061546313337797E-2</v>
      </c>
      <c r="AF5" s="117">
        <f t="shared" si="0"/>
        <v>6.3279749335190774E-2</v>
      </c>
    </row>
    <row r="6" spans="1:32" x14ac:dyDescent="0.3">
      <c r="A6" s="2" t="s">
        <v>362</v>
      </c>
      <c r="B6" s="8">
        <v>10</v>
      </c>
      <c r="C6" s="8">
        <v>11</v>
      </c>
      <c r="D6" s="8">
        <v>20</v>
      </c>
      <c r="G6" t="str">
        <f>A3</f>
        <v>A</v>
      </c>
      <c r="H6" s="118">
        <f t="shared" ref="H6:J10" si="1">B3/$K$11</f>
        <v>5.4545454545454543E-2</v>
      </c>
      <c r="I6" s="120">
        <f t="shared" si="1"/>
        <v>6.363636363636363E-2</v>
      </c>
      <c r="J6" s="117">
        <f t="shared" si="1"/>
        <v>5.909090909090909E-2</v>
      </c>
      <c r="K6">
        <f>SUM(H6:J6)</f>
        <v>0.17727272727272725</v>
      </c>
      <c r="M6">
        <v>1</v>
      </c>
      <c r="N6" s="118">
        <f t="array" ref="N6:N7">[2]!CAEigen(B3:D7)</f>
        <v>3.1237033840085107E-2</v>
      </c>
      <c r="O6" s="120">
        <f>100*N6/N$8</f>
        <v>59.616751998361934</v>
      </c>
      <c r="P6" s="117">
        <f>O6</f>
        <v>59.616751998361934</v>
      </c>
      <c r="R6" t="str">
        <f>G6</f>
        <v>A</v>
      </c>
      <c r="S6">
        <f>Y6+Z6</f>
        <v>0.99999999999999867</v>
      </c>
      <c r="T6">
        <f>K6</f>
        <v>0.17727272727272725</v>
      </c>
      <c r="U6">
        <f>SUMPRODUCT((H6:J6/T6-H$11:J$11)^2/H$11:J$11)</f>
        <v>6.3142389099536999E-3</v>
      </c>
      <c r="V6">
        <f>(T6*U6)/V$11</f>
        <v>2.1362961590761984E-2</v>
      </c>
      <c r="W6">
        <f t="array" ref="W6:X10">[2]!CARowFactors(B3:D7)</f>
        <v>4.8061546313337797E-2</v>
      </c>
      <c r="X6">
        <v>6.3279749335190774E-2</v>
      </c>
      <c r="Y6">
        <f>W6^2/U6</f>
        <v>0.36582591615084326</v>
      </c>
      <c r="Z6">
        <f>X6^2/U6</f>
        <v>0.63417408384915541</v>
      </c>
      <c r="AA6">
        <f>T6*W6^2/N$6</f>
        <v>1.3108941251698038E-2</v>
      </c>
      <c r="AB6">
        <f>T6*X6^2/N$7</f>
        <v>3.3548159857217631E-2</v>
      </c>
      <c r="AD6" t="str">
        <f>R7</f>
        <v>B</v>
      </c>
      <c r="AE6" s="116">
        <f t="shared" si="0"/>
        <v>6.3233652437386351E-2</v>
      </c>
      <c r="AF6" s="115">
        <f t="shared" si="0"/>
        <v>0.26180533480730173</v>
      </c>
    </row>
    <row r="7" spans="1:32" x14ac:dyDescent="0.3">
      <c r="A7" s="2" t="s">
        <v>412</v>
      </c>
      <c r="B7" s="8">
        <v>20</v>
      </c>
      <c r="C7" s="8">
        <v>13</v>
      </c>
      <c r="D7" s="8">
        <v>15</v>
      </c>
      <c r="G7" t="str">
        <f>A4</f>
        <v>B</v>
      </c>
      <c r="H7" s="116">
        <f t="shared" si="1"/>
        <v>0.05</v>
      </c>
      <c r="I7">
        <f t="shared" si="1"/>
        <v>8.6363636363636365E-2</v>
      </c>
      <c r="J7" s="115">
        <f t="shared" si="1"/>
        <v>5.4545454545454543E-2</v>
      </c>
      <c r="K7">
        <f>SUM(H7:J7)</f>
        <v>0.19090909090909089</v>
      </c>
      <c r="M7">
        <f>M6+1</f>
        <v>2</v>
      </c>
      <c r="N7" s="114">
        <v>2.1159369507992958E-2</v>
      </c>
      <c r="O7" s="119">
        <f>100*N7/N$8</f>
        <v>40.383248001638073</v>
      </c>
      <c r="P7" s="113">
        <f>O7+P6</f>
        <v>100</v>
      </c>
      <c r="R7" t="str">
        <f>G7</f>
        <v>B</v>
      </c>
      <c r="S7">
        <f>Y7+Z7</f>
        <v>1.0000000000000007</v>
      </c>
      <c r="T7">
        <f>K7</f>
        <v>0.19090909090909089</v>
      </c>
      <c r="U7">
        <f>SUMPRODUCT((H7:J7/T7-H$11:J$11)^2/H$11:J$11)</f>
        <v>7.2540528134135474E-2</v>
      </c>
      <c r="V7">
        <f>(T7*U7)/V$11</f>
        <v>0.26430528424163496</v>
      </c>
      <c r="W7">
        <v>6.3233652437386351E-2</v>
      </c>
      <c r="X7">
        <v>0.26180533480730173</v>
      </c>
      <c r="Y7">
        <f>W7^2/U7</f>
        <v>5.5120839390340765E-2</v>
      </c>
      <c r="Z7">
        <f>X7^2/U7</f>
        <v>0.94487916060965993</v>
      </c>
      <c r="AA7">
        <f>T7*W7^2/N$6</f>
        <v>2.4437307693484935E-2</v>
      </c>
      <c r="AB7">
        <f>T7*X7^2/N$7</f>
        <v>0.61841621830122151</v>
      </c>
      <c r="AD7" t="str">
        <f>R8</f>
        <v>C</v>
      </c>
      <c r="AE7" s="116">
        <f t="shared" si="0"/>
        <v>-0.21252898138355636</v>
      </c>
      <c r="AF7" s="115">
        <f t="shared" si="0"/>
        <v>-3.808927411570829E-2</v>
      </c>
    </row>
    <row r="8" spans="1:32" x14ac:dyDescent="0.3">
      <c r="G8" t="str">
        <f>A5</f>
        <v>C</v>
      </c>
      <c r="H8" s="116">
        <f t="shared" si="1"/>
        <v>0.1</v>
      </c>
      <c r="I8">
        <f t="shared" si="1"/>
        <v>6.8181818181818177E-2</v>
      </c>
      <c r="J8" s="115">
        <f t="shared" si="1"/>
        <v>5.909090909090909E-2</v>
      </c>
      <c r="K8">
        <f>SUM(H8:J8)</f>
        <v>0.22727272727272727</v>
      </c>
      <c r="N8">
        <f>SUM(N6:N7)</f>
        <v>5.2396403348078061E-2</v>
      </c>
      <c r="R8" t="str">
        <f>G8</f>
        <v>C</v>
      </c>
      <c r="S8">
        <f>Y8+Z8</f>
        <v>0.99999999999999967</v>
      </c>
      <c r="T8">
        <f>K8</f>
        <v>0.22727272727272727</v>
      </c>
      <c r="U8">
        <f>SUMPRODUCT((H8:J8/T8-H$11:J$11)^2/H$11:J$11)</f>
        <v>4.6619360730593626E-2</v>
      </c>
      <c r="V8">
        <f>(T8*U8)/V$11</f>
        <v>0.20221443801336289</v>
      </c>
      <c r="W8">
        <v>-0.21252898138355636</v>
      </c>
      <c r="X8">
        <v>-3.808927411570829E-2</v>
      </c>
      <c r="Y8">
        <f>W8^2/U8</f>
        <v>0.96888003653577537</v>
      </c>
      <c r="Z8">
        <f>X8^2/U8</f>
        <v>3.1119963464224274E-2</v>
      </c>
      <c r="AA8">
        <f>T8*W8^2/N$6</f>
        <v>0.32863503213967726</v>
      </c>
      <c r="AB8">
        <f>T8*X8^2/N$7</f>
        <v>1.5582961337481424E-2</v>
      </c>
      <c r="AD8" t="str">
        <f>R9</f>
        <v>D</v>
      </c>
      <c r="AE8" s="116">
        <f t="shared" si="0"/>
        <v>0.29610016859525612</v>
      </c>
      <c r="AF8" s="115">
        <f t="shared" si="0"/>
        <v>-0.15455182036744108</v>
      </c>
    </row>
    <row r="9" spans="1:32" x14ac:dyDescent="0.3">
      <c r="G9" t="str">
        <f>A6</f>
        <v>D</v>
      </c>
      <c r="H9" s="116">
        <f t="shared" si="1"/>
        <v>4.5454545454545456E-2</v>
      </c>
      <c r="I9">
        <f t="shared" si="1"/>
        <v>0.05</v>
      </c>
      <c r="J9" s="115">
        <f t="shared" si="1"/>
        <v>9.0909090909090912E-2</v>
      </c>
      <c r="K9">
        <f>SUM(H9:J9)</f>
        <v>0.18636363636363637</v>
      </c>
      <c r="R9" t="str">
        <f>G9</f>
        <v>D</v>
      </c>
      <c r="S9">
        <f>Y9+Z9</f>
        <v>0.99999999999999756</v>
      </c>
      <c r="T9">
        <f>K9</f>
        <v>0.18636363636363637</v>
      </c>
      <c r="U9">
        <f>SUMPRODUCT((H9:J9/T9-H$11:J$11)^2/H$11:J$11)</f>
        <v>0.11156157502102916</v>
      </c>
      <c r="V9">
        <f>(T9*U9)/V$11</f>
        <v>0.39680244197784686</v>
      </c>
      <c r="W9">
        <v>0.29610016859525612</v>
      </c>
      <c r="X9">
        <v>-0.15455182036744108</v>
      </c>
      <c r="Y9">
        <f>W9^2/U9</f>
        <v>0.78589164616591745</v>
      </c>
      <c r="Z9">
        <f>X9^2/U9</f>
        <v>0.21410835383408006</v>
      </c>
      <c r="AA9">
        <f>T9*W9^2/N$6</f>
        <v>0.52308070110427118</v>
      </c>
      <c r="AB9">
        <f>T9*X9^2/N$7</f>
        <v>0.21038109080719239</v>
      </c>
      <c r="AD9" t="str">
        <f>R10</f>
        <v>E</v>
      </c>
      <c r="AE9" s="116">
        <f t="shared" si="0"/>
        <v>-0.12591399066287678</v>
      </c>
      <c r="AF9" s="115">
        <f t="shared" si="0"/>
        <v>-0.10880512385684608</v>
      </c>
    </row>
    <row r="10" spans="1:32" x14ac:dyDescent="0.3">
      <c r="G10" t="str">
        <f>A7</f>
        <v>E</v>
      </c>
      <c r="H10" s="114">
        <f t="shared" si="1"/>
        <v>9.0909090909090912E-2</v>
      </c>
      <c r="I10" s="119">
        <f t="shared" si="1"/>
        <v>5.909090909090909E-2</v>
      </c>
      <c r="J10" s="113">
        <f t="shared" si="1"/>
        <v>6.8181818181818177E-2</v>
      </c>
      <c r="K10">
        <f>SUM(H10:J10)</f>
        <v>0.21818181818181817</v>
      </c>
      <c r="R10" s="6" t="str">
        <f>G10</f>
        <v>E</v>
      </c>
      <c r="S10" s="6">
        <f>Y10+Z10</f>
        <v>1.0000000000000022</v>
      </c>
      <c r="T10" s="6">
        <f>K10</f>
        <v>0.21818181818181817</v>
      </c>
      <c r="U10" s="6">
        <f>SUMPRODUCT((H10:J10/T10-H$11:J$11)^2/H$11:J$11)</f>
        <v>2.7692888022154576E-2</v>
      </c>
      <c r="V10" s="6">
        <f>(T10*U10)/V$11</f>
        <v>0.11531487417639336</v>
      </c>
      <c r="W10" s="6">
        <v>-0.12591399066287678</v>
      </c>
      <c r="X10" s="6">
        <v>-0.10880512385684608</v>
      </c>
      <c r="Y10" s="6">
        <f>W10^2/U10</f>
        <v>0.57250558453735134</v>
      </c>
      <c r="Z10" s="6">
        <f>X10^2/U10</f>
        <v>0.42749441546265093</v>
      </c>
      <c r="AA10" s="6">
        <f>T10*W10^2/N$6</f>
        <v>0.11073801781086831</v>
      </c>
      <c r="AB10" s="6">
        <f>T10*X10^2/N$7</f>
        <v>0.12207156969688723</v>
      </c>
      <c r="AD10" t="str">
        <f>R16</f>
        <v>Salty</v>
      </c>
      <c r="AE10" s="116">
        <f t="shared" ref="AE10:AF12" si="2">W16</f>
        <v>-0.22334930326718477</v>
      </c>
      <c r="AF10" s="115">
        <f t="shared" si="2"/>
        <v>-8.4362487093429819E-2</v>
      </c>
    </row>
    <row r="11" spans="1:32" x14ac:dyDescent="0.3">
      <c r="H11">
        <f>SUM(H6:H10)</f>
        <v>0.34090909090909094</v>
      </c>
      <c r="I11">
        <f>SUM(I6:I10)</f>
        <v>0.32727272727272727</v>
      </c>
      <c r="J11">
        <f>SUM(J6:J10)</f>
        <v>0.33181818181818185</v>
      </c>
      <c r="K11">
        <f>SUM(B3:D7)</f>
        <v>220</v>
      </c>
      <c r="V11">
        <f>SUMPRODUCT(T6:T10,U6:U10)</f>
        <v>5.2396403348078088E-2</v>
      </c>
      <c r="AD11" t="str">
        <f>R17</f>
        <v>Sweet</v>
      </c>
      <c r="AE11" s="116">
        <f t="shared" si="2"/>
        <v>2.4092693382891574E-2</v>
      </c>
      <c r="AF11" s="115">
        <f t="shared" si="2"/>
        <v>0.20760796824238562</v>
      </c>
    </row>
    <row r="12" spans="1:32" x14ac:dyDescent="0.3">
      <c r="AD12" t="str">
        <f>R18</f>
        <v>Bland</v>
      </c>
      <c r="AE12" s="114">
        <f t="shared" si="2"/>
        <v>0.20570580577357056</v>
      </c>
      <c r="AF12" s="113">
        <f t="shared" si="2"/>
        <v>-0.11809023536225377</v>
      </c>
    </row>
    <row r="13" spans="1:32" x14ac:dyDescent="0.3">
      <c r="R13" t="s">
        <v>476</v>
      </c>
    </row>
    <row r="14" spans="1:32" ht="15" thickBot="1" x14ac:dyDescent="0.35"/>
    <row r="15" spans="1:32" ht="15" thickTop="1" x14ac:dyDescent="0.3">
      <c r="R15" s="281"/>
      <c r="S15" s="281" t="s">
        <v>475</v>
      </c>
      <c r="T15" s="281" t="s">
        <v>474</v>
      </c>
      <c r="U15" s="281" t="s">
        <v>363</v>
      </c>
      <c r="V15" s="281" t="s">
        <v>473</v>
      </c>
      <c r="W15" s="281" t="s">
        <v>472</v>
      </c>
      <c r="X15" s="281" t="s">
        <v>471</v>
      </c>
      <c r="Y15" s="281" t="s">
        <v>470</v>
      </c>
      <c r="Z15" s="281" t="s">
        <v>469</v>
      </c>
      <c r="AA15" s="281" t="s">
        <v>468</v>
      </c>
      <c r="AB15" s="281" t="s">
        <v>467</v>
      </c>
    </row>
    <row r="16" spans="1:32" x14ac:dyDescent="0.3">
      <c r="R16" t="str">
        <f t="array" ref="R16:R18">TRANSPOSE(H5:J5)</f>
        <v>Salty</v>
      </c>
      <c r="S16">
        <f>Y16+Z16</f>
        <v>1.000000000000002</v>
      </c>
      <c r="T16">
        <f t="array" ref="T16:T18">TRANSPOSE(H11:J11)</f>
        <v>0.34090909090909094</v>
      </c>
      <c r="U16">
        <f>SUMPRODUCT((H6:H10/H11-K6:K10)^2/K6:K10)</f>
        <v>5.7001940498525867E-2</v>
      </c>
      <c r="V16">
        <f>(T16*U16)/V$19</f>
        <v>0.37087430574792185</v>
      </c>
      <c r="W16">
        <f t="array" ref="W16:X18">[2]!CAColFactors(B3:D7)</f>
        <v>-0.22334930326718477</v>
      </c>
      <c r="X16">
        <v>-8.4362487093429819E-2</v>
      </c>
      <c r="Y16">
        <f>W16^2/U16</f>
        <v>0.87514408866882265</v>
      </c>
      <c r="Z16">
        <f>X16^2/U16</f>
        <v>0.12485591133117944</v>
      </c>
      <c r="AA16">
        <f>T16*W16^2/N$6</f>
        <v>0.54442492325540581</v>
      </c>
      <c r="AB16">
        <f>T16*X16^2/N$7</f>
        <v>0.1146659858355053</v>
      </c>
    </row>
    <row r="17" spans="18:28" x14ac:dyDescent="0.3">
      <c r="R17" t="str">
        <v>Sweet</v>
      </c>
      <c r="S17">
        <f>Y17+Z17</f>
        <v>1.0000000000000009</v>
      </c>
      <c r="T17">
        <v>0.32727272727272727</v>
      </c>
      <c r="U17">
        <f>SUMPRODUCT((I6:I10/I11-K6:K10)^2/K6:K10)</f>
        <v>4.3681526352173386E-2</v>
      </c>
      <c r="V17">
        <f>(T17*U17)/V$19</f>
        <v>0.2728388085293198</v>
      </c>
      <c r="W17">
        <v>2.4092693382891574E-2</v>
      </c>
      <c r="X17">
        <v>0.20760796824238562</v>
      </c>
      <c r="Y17">
        <f>W17^2/U17</f>
        <v>1.3288406402335954E-2</v>
      </c>
      <c r="Z17">
        <f>X17^2/U17</f>
        <v>0.98671159359766492</v>
      </c>
      <c r="AA17">
        <f>T17*W17^2/N$6</f>
        <v>6.0815003309243479E-3</v>
      </c>
      <c r="AB17">
        <f>T17*X17^2/N$7</f>
        <v>0.66664577239634948</v>
      </c>
    </row>
    <row r="18" spans="18:28" x14ac:dyDescent="0.3">
      <c r="R18" s="223" t="str">
        <v>Bland</v>
      </c>
      <c r="S18" s="223">
        <f>Y18+Z18</f>
        <v>0.99999999999999856</v>
      </c>
      <c r="T18" s="223">
        <v>0.33181818181818185</v>
      </c>
      <c r="U18" s="223">
        <f>SUMPRODUCT((J6:J10/J11-K6:K10)^2/K6:K10)</f>
        <v>5.626018221686651E-2</v>
      </c>
      <c r="V18" s="223">
        <f>(T18*U18)/V$19</f>
        <v>0.35628688572275835</v>
      </c>
      <c r="W18" s="223">
        <v>0.20570580577357056</v>
      </c>
      <c r="X18" s="223">
        <v>-0.11809023536225377</v>
      </c>
      <c r="Y18" s="223">
        <f>W18^2/U18</f>
        <v>0.75212835902028341</v>
      </c>
      <c r="Z18" s="223">
        <f>X18^2/U18</f>
        <v>0.24787164097971515</v>
      </c>
      <c r="AA18" s="223">
        <f>T18*W18^2/N$6</f>
        <v>0.44949357641367083</v>
      </c>
      <c r="AB18" s="223">
        <f>T18*X18^2/N$7</f>
        <v>0.21868824176814639</v>
      </c>
    </row>
    <row r="19" spans="18:28" x14ac:dyDescent="0.3">
      <c r="V19">
        <f>SUMPRODUCT(T16:T20,U16:U20)</f>
        <v>5.2396403348078088E-2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631E6-6CDA-4AD5-BDDC-A1DBA0AD8E59}">
  <dimension ref="A1:AK43"/>
  <sheetViews>
    <sheetView zoomScale="75" zoomScaleNormal="75" workbookViewId="0">
      <selection activeCell="E1" sqref="E1"/>
    </sheetView>
  </sheetViews>
  <sheetFormatPr defaultRowHeight="14.4" x14ac:dyDescent="0.3"/>
  <cols>
    <col min="1" max="1" width="12" customWidth="1"/>
    <col min="2" max="2" width="11.44140625" customWidth="1"/>
    <col min="3" max="3" width="10.44140625" customWidth="1"/>
    <col min="4" max="4" width="11.5546875" customWidth="1"/>
    <col min="5" max="5" width="6.33203125" customWidth="1"/>
    <col min="6" max="6" width="11.5546875" customWidth="1"/>
    <col min="7" max="18" width="8.44140625" customWidth="1"/>
    <col min="20" max="33" width="9" customWidth="1"/>
    <col min="36" max="36" width="11.33203125" customWidth="1"/>
  </cols>
  <sheetData>
    <row r="1" spans="1:37" x14ac:dyDescent="0.3">
      <c r="A1" t="s">
        <v>493</v>
      </c>
      <c r="B1" t="s">
        <v>492</v>
      </c>
      <c r="C1" t="s">
        <v>491</v>
      </c>
      <c r="D1" t="s">
        <v>490</v>
      </c>
      <c r="F1" t="s">
        <v>489</v>
      </c>
      <c r="H1" s="297" t="s">
        <v>488</v>
      </c>
      <c r="I1" s="296">
        <f>COUNT(C2:C25)</f>
        <v>24</v>
      </c>
      <c r="J1" s="297" t="s">
        <v>487</v>
      </c>
      <c r="K1" s="296">
        <v>12</v>
      </c>
      <c r="L1" s="297" t="s">
        <v>486</v>
      </c>
      <c r="M1" s="296">
        <f>I1-K1+1</f>
        <v>13</v>
      </c>
      <c r="T1" t="s">
        <v>456</v>
      </c>
    </row>
    <row r="2" spans="1:37" x14ac:dyDescent="0.3">
      <c r="A2" vm="1">
        <v>201.08</v>
      </c>
      <c r="B2" s="293">
        <f t="shared" ref="B2:B29" si="0">D2*_xlfn.STDEV.S($A$2:$A$25)+AVERAGE($A$2:$A$25)</f>
        <v>206.51056661803673</v>
      </c>
      <c r="C2" s="21">
        <f t="shared" ref="C2:C25" si="1">(A2-AVERAGE($A$2:$A$25))/_xlfn.STDEV.S($A$2:$A$25)</f>
        <v>-3.0317408288182253</v>
      </c>
      <c r="D2" s="292" cm="1">
        <f t="array" ref="D2">AVERAGE(IF(((ROW($F$16:$R$27)-ROW($F$16)+1)+(COLUMN($F$16:$R$27)-COLUMN($F$16)+1)) = ROW()-ROW($D$2)+2, $F$16:$R$27))</f>
        <v>-1.3025487017845694</v>
      </c>
      <c r="F2" s="21" cm="1">
        <f t="array" ref="F2">INDEX($C$2:$C$25, ROW()-ROW($F$2)+1 + COLUMN()-COLUMN($F$2))</f>
        <v>-3.0317408288182253</v>
      </c>
      <c r="G2" s="21" cm="1">
        <f t="array" ref="G2">INDEX($C$2:$C$25, ROW()-ROW($F$2)+1 + COLUMN()-COLUMN($F$2))</f>
        <v>-1.72940972839901</v>
      </c>
      <c r="H2" s="21" cm="1">
        <f t="array" ref="H2">INDEX($C$2:$C$25, ROW()-ROW($F$2)+1 + COLUMN()-COLUMN($F$2))</f>
        <v>-0.88560106920317883</v>
      </c>
      <c r="I2" s="21" cm="1">
        <f t="array" ref="I2">INDEX($C$2:$C$25, ROW()-ROW($F$2)+1 + COLUMN()-COLUMN($F$2))</f>
        <v>0.58549176305521167</v>
      </c>
      <c r="J2" s="21" cm="1">
        <f t="array" ref="J2">INDEX($C$2:$C$25, ROW()-ROW($F$2)+1 + COLUMN()-COLUMN($F$2))</f>
        <v>0.93893614483158216</v>
      </c>
      <c r="K2" s="21" cm="1">
        <f t="array" ref="K2">INDEX($C$2:$C$25, ROW()-ROW($F$2)+1 + COLUMN()-COLUMN($F$2))</f>
        <v>-0.20736995822691004</v>
      </c>
      <c r="L2" s="21" cm="1">
        <f t="array" ref="L2">INDEX($C$2:$C$25, ROW()-ROW($F$2)+1 + COLUMN()-COLUMN($F$2))</f>
        <v>-0.18826485650926789</v>
      </c>
      <c r="M2" s="21" cm="1">
        <f t="array" ref="M2">INDEX($C$2:$C$25, ROW()-ROW($F$2)+1 + COLUMN()-COLUMN($F$2))</f>
        <v>0.17154789250631067</v>
      </c>
      <c r="N2" s="21" cm="1">
        <f t="array" ref="N2">INDEX($C$2:$C$25, ROW()-ROW($F$2)+1 + COLUMN()-COLUMN($F$2))</f>
        <v>0.57593921219639055</v>
      </c>
      <c r="O2" s="21" cm="1">
        <f t="array" ref="O2">INDEX($C$2:$C$25, ROW()-ROW($F$2)+1 + COLUMN()-COLUMN($F$2))</f>
        <v>0.17791625974552772</v>
      </c>
      <c r="P2" s="21" cm="1">
        <f t="array" ref="P2">INDEX($C$2:$C$25, ROW()-ROW($F$2)+1 + COLUMN()-COLUMN($F$2))</f>
        <v>-0.630866379634623</v>
      </c>
      <c r="Q2" s="21" cm="1">
        <f t="array" ref="Q2">INDEX($C$2:$C$25, ROW()-ROW($F$2)+1 + COLUMN()-COLUMN($F$2))</f>
        <v>-0.4748413822738819</v>
      </c>
      <c r="R2" s="21" cm="1">
        <f t="array" ref="R2">INDEX($C$2:$C$25, ROW()-ROW($F$2)+1 + COLUMN()-COLUMN($F$2))</f>
        <v>-0.14050210221516254</v>
      </c>
      <c r="T2" s="295" cm="1">
        <f t="array" ref="T2:AE13">[2]!SVD_U(F2:R13)</f>
        <v>-0.48960794641679939</v>
      </c>
      <c r="U2" s="295">
        <v>-0.44308754368583408</v>
      </c>
      <c r="V2" s="295">
        <v>-0.46841190450259473</v>
      </c>
      <c r="W2" s="295">
        <v>0.33113118376430717</v>
      </c>
      <c r="X2" s="295">
        <v>-0.34509671246232837</v>
      </c>
      <c r="Y2" s="295">
        <v>-0.27477392507940834</v>
      </c>
      <c r="Z2" s="295">
        <v>-1.4597656760384827E-2</v>
      </c>
      <c r="AA2" s="295">
        <v>-0.12582420628037805</v>
      </c>
      <c r="AB2" s="295">
        <v>-1.4666658546789821E-3</v>
      </c>
      <c r="AC2" s="295">
        <v>-7.369754408182054E-2</v>
      </c>
      <c r="AD2" s="295">
        <v>-5.8618929370407753E-2</v>
      </c>
      <c r="AE2" s="295">
        <v>0.12406846084839371</v>
      </c>
      <c r="AJ2" s="291"/>
      <c r="AK2" s="21"/>
    </row>
    <row r="3" spans="1:37" x14ac:dyDescent="0.3">
      <c r="A3" vm="2">
        <v>205.17</v>
      </c>
      <c r="B3" s="293">
        <f t="shared" si="0"/>
        <v>208.25237659053496</v>
      </c>
      <c r="C3" s="21">
        <f t="shared" si="1"/>
        <v>-1.72940972839901</v>
      </c>
      <c r="D3" s="292" cm="1">
        <f t="array" ref="D3">AVERAGE(IF(((ROW($F$16:$R$27)-ROW($F$16)+1)+(COLUMN($F$16:$R$27)-COLUMN($F$16)+1)) = ROW()-ROW($D$2)+2, $F$16:$R$27))</f>
        <v>-0.74792442349488852</v>
      </c>
      <c r="F3" s="21" cm="1">
        <f t="array" ref="F3">INDEX($C$2:$C$25, ROW()-ROW($F$2)+1 + COLUMN()-COLUMN($F$2))</f>
        <v>-1.72940972839901</v>
      </c>
      <c r="G3" s="21" cm="1">
        <f t="array" ref="G3">INDEX($C$2:$C$25, ROW()-ROW($F$2)+1 + COLUMN()-COLUMN($F$2))</f>
        <v>-0.88560106920317883</v>
      </c>
      <c r="H3" s="21" cm="1">
        <f t="array" ref="H3">INDEX($C$2:$C$25, ROW()-ROW($F$2)+1 + COLUMN()-COLUMN($F$2))</f>
        <v>0.58549176305521167</v>
      </c>
      <c r="I3" s="21" cm="1">
        <f t="array" ref="I3">INDEX($C$2:$C$25, ROW()-ROW($F$2)+1 + COLUMN()-COLUMN($F$2))</f>
        <v>0.93893614483158216</v>
      </c>
      <c r="J3" s="21" cm="1">
        <f t="array" ref="J3">INDEX($C$2:$C$25, ROW()-ROW($F$2)+1 + COLUMN()-COLUMN($F$2))</f>
        <v>-0.20736995822691004</v>
      </c>
      <c r="K3" s="21" cm="1">
        <f t="array" ref="K3">INDEX($C$2:$C$25, ROW()-ROW($F$2)+1 + COLUMN()-COLUMN($F$2))</f>
        <v>-0.18826485650926789</v>
      </c>
      <c r="L3" s="21" cm="1">
        <f t="array" ref="L3">INDEX($C$2:$C$25, ROW()-ROW($F$2)+1 + COLUMN()-COLUMN($F$2))</f>
        <v>0.17154789250631067</v>
      </c>
      <c r="M3" s="21" cm="1">
        <f t="array" ref="M3">INDEX($C$2:$C$25, ROW()-ROW($F$2)+1 + COLUMN()-COLUMN($F$2))</f>
        <v>0.57593921219639055</v>
      </c>
      <c r="N3" s="21" cm="1">
        <f t="array" ref="N3">INDEX($C$2:$C$25, ROW()-ROW($F$2)+1 + COLUMN()-COLUMN($F$2))</f>
        <v>0.17791625974552772</v>
      </c>
      <c r="O3" s="21" cm="1">
        <f t="array" ref="O3">INDEX($C$2:$C$25, ROW()-ROW($F$2)+1 + COLUMN()-COLUMN($F$2))</f>
        <v>-0.630866379634623</v>
      </c>
      <c r="P3" s="21" cm="1">
        <f t="array" ref="P3">INDEX($C$2:$C$25, ROW()-ROW($F$2)+1 + COLUMN()-COLUMN($F$2))</f>
        <v>-0.4748413822738819</v>
      </c>
      <c r="Q3" s="21" cm="1">
        <f t="array" ref="Q3">INDEX($C$2:$C$25, ROW()-ROW($F$2)+1 + COLUMN()-COLUMN($F$2))</f>
        <v>-0.14050210221516254</v>
      </c>
      <c r="R3" s="21" cm="1">
        <f t="array" ref="R3">INDEX($C$2:$C$25, ROW()-ROW($F$2)+1 + COLUMN()-COLUMN($F$2))</f>
        <v>-0.18508067288965485</v>
      </c>
      <c r="T3" s="295">
        <v>-0.32885465613629761</v>
      </c>
      <c r="U3" s="295">
        <v>-0.18973446408202602</v>
      </c>
      <c r="V3" s="295">
        <v>-0.28595532119196387</v>
      </c>
      <c r="W3" s="295">
        <v>-0.34782026696915941</v>
      </c>
      <c r="X3" s="295">
        <v>0.2431695849269008</v>
      </c>
      <c r="Y3" s="295">
        <v>0.34330773450930258</v>
      </c>
      <c r="Z3" s="295">
        <v>-0.27075171160895162</v>
      </c>
      <c r="AA3" s="295">
        <v>0.49301687337019545</v>
      </c>
      <c r="AB3" s="295">
        <v>-3.9590232018278604E-2</v>
      </c>
      <c r="AC3" s="295">
        <v>-0.20486365722331207</v>
      </c>
      <c r="AD3" s="295">
        <v>6.6500444302613551E-3</v>
      </c>
      <c r="AE3" s="295">
        <v>-0.34082482664410912</v>
      </c>
      <c r="AJ3" s="291"/>
      <c r="AK3" s="21"/>
    </row>
    <row r="4" spans="1:37" x14ac:dyDescent="0.3">
      <c r="A4" vm="3">
        <v>207.82</v>
      </c>
      <c r="B4" s="293">
        <f t="shared" si="0"/>
        <v>209.88528863463651</v>
      </c>
      <c r="C4" s="21">
        <f t="shared" si="1"/>
        <v>-0.88560106920317883</v>
      </c>
      <c r="D4" s="292" cm="1">
        <f t="array" ref="D4">AVERAGE(IF(((ROW($F$16:$R$27)-ROW($F$16)+1)+(COLUMN($F$16:$R$27)-COLUMN($F$16)+1)) = ROW()-ROW($D$2)+2, $F$16:$R$27))</f>
        <v>-0.22797524518618995</v>
      </c>
      <c r="F4" s="21" cm="1">
        <f t="array" ref="F4">INDEX($C$2:$C$25, ROW()-ROW($F$2)+1 + COLUMN()-COLUMN($F$2))</f>
        <v>-0.88560106920317883</v>
      </c>
      <c r="G4" s="21" cm="1">
        <f t="array" ref="G4">INDEX($C$2:$C$25, ROW()-ROW($F$2)+1 + COLUMN()-COLUMN($F$2))</f>
        <v>0.58549176305521167</v>
      </c>
      <c r="H4" s="21" cm="1">
        <f t="array" ref="H4">INDEX($C$2:$C$25, ROW()-ROW($F$2)+1 + COLUMN()-COLUMN($F$2))</f>
        <v>0.93893614483158216</v>
      </c>
      <c r="I4" s="21" cm="1">
        <f t="array" ref="I4">INDEX($C$2:$C$25, ROW()-ROW($F$2)+1 + COLUMN()-COLUMN($F$2))</f>
        <v>-0.20736995822691004</v>
      </c>
      <c r="J4" s="21" cm="1">
        <f t="array" ref="J4">INDEX($C$2:$C$25, ROW()-ROW($F$2)+1 + COLUMN()-COLUMN($F$2))</f>
        <v>-0.18826485650926789</v>
      </c>
      <c r="K4" s="21" cm="1">
        <f t="array" ref="K4">INDEX($C$2:$C$25, ROW()-ROW($F$2)+1 + COLUMN()-COLUMN($F$2))</f>
        <v>0.17154789250631067</v>
      </c>
      <c r="L4" s="21" cm="1">
        <f t="array" ref="L4">INDEX($C$2:$C$25, ROW()-ROW($F$2)+1 + COLUMN()-COLUMN($F$2))</f>
        <v>0.57593921219639055</v>
      </c>
      <c r="M4" s="21" cm="1">
        <f t="array" ref="M4">INDEX($C$2:$C$25, ROW()-ROW($F$2)+1 + COLUMN()-COLUMN($F$2))</f>
        <v>0.17791625974552772</v>
      </c>
      <c r="N4" s="21" cm="1">
        <f t="array" ref="N4">INDEX($C$2:$C$25, ROW()-ROW($F$2)+1 + COLUMN()-COLUMN($F$2))</f>
        <v>-0.630866379634623</v>
      </c>
      <c r="O4" s="21" cm="1">
        <f t="array" ref="O4">INDEX($C$2:$C$25, ROW()-ROW($F$2)+1 + COLUMN()-COLUMN($F$2))</f>
        <v>-0.4748413822738819</v>
      </c>
      <c r="P4" s="21" cm="1">
        <f t="array" ref="P4">INDEX($C$2:$C$25, ROW()-ROW($F$2)+1 + COLUMN()-COLUMN($F$2))</f>
        <v>-0.14050210221516254</v>
      </c>
      <c r="Q4" s="21" cm="1">
        <f t="array" ref="Q4">INDEX($C$2:$C$25, ROW()-ROW($F$2)+1 + COLUMN()-COLUMN($F$2))</f>
        <v>-0.18508067288965485</v>
      </c>
      <c r="R4" s="21" cm="1">
        <f t="array" ref="R4">INDEX($C$2:$C$25, ROW()-ROW($F$2)+1 + COLUMN()-COLUMN($F$2))</f>
        <v>0.18428462698474479</v>
      </c>
      <c r="T4" s="295">
        <v>-0.10963627258591012</v>
      </c>
      <c r="U4" s="295">
        <v>4.9777898867963036E-2</v>
      </c>
      <c r="V4" s="295">
        <v>-7.1670232947607529E-3</v>
      </c>
      <c r="W4" s="295">
        <v>-0.61486026889681866</v>
      </c>
      <c r="X4" s="295">
        <v>-0.40839357294856654</v>
      </c>
      <c r="Y4" s="295">
        <v>0.10018674260906334</v>
      </c>
      <c r="Z4" s="295">
        <v>-0.37336353492963353</v>
      </c>
      <c r="AA4" s="295">
        <v>-0.22143055771025838</v>
      </c>
      <c r="AB4" s="295">
        <v>0.28653086338066863</v>
      </c>
      <c r="AC4" s="295">
        <v>0.22725810537881422</v>
      </c>
      <c r="AD4" s="295">
        <v>2.7835705133147072E-2</v>
      </c>
      <c r="AE4" s="295">
        <v>0.32805793465985122</v>
      </c>
      <c r="AJ4" s="291"/>
      <c r="AK4" s="21"/>
    </row>
    <row r="5" spans="1:37" x14ac:dyDescent="0.3">
      <c r="A5" vm="4">
        <v>212.44</v>
      </c>
      <c r="B5" s="293">
        <f t="shared" si="0"/>
        <v>211.10847210585953</v>
      </c>
      <c r="C5" s="21">
        <f t="shared" si="1"/>
        <v>0.58549176305521167</v>
      </c>
      <c r="D5" s="292" cm="1">
        <f t="array" ref="D5">AVERAGE(IF(((ROW($F$16:$R$27)-ROW($F$16)+1)+(COLUMN($F$16:$R$27)-COLUMN($F$16)+1)) = ROW()-ROW($D$2)+2, $F$16:$R$27))</f>
        <v>0.16150883209803968</v>
      </c>
      <c r="F5" s="21" cm="1">
        <f t="array" ref="F5">INDEX($C$2:$C$25, ROW()-ROW($F$2)+1 + COLUMN()-COLUMN($F$2))</f>
        <v>0.58549176305521167</v>
      </c>
      <c r="G5" s="21" cm="1">
        <f t="array" ref="G5">INDEX($C$2:$C$25, ROW()-ROW($F$2)+1 + COLUMN()-COLUMN($F$2))</f>
        <v>0.93893614483158216</v>
      </c>
      <c r="H5" s="21" cm="1">
        <f t="array" ref="H5">INDEX($C$2:$C$25, ROW()-ROW($F$2)+1 + COLUMN()-COLUMN($F$2))</f>
        <v>-0.20736995822691004</v>
      </c>
      <c r="I5" s="21" cm="1">
        <f t="array" ref="I5">INDEX($C$2:$C$25, ROW()-ROW($F$2)+1 + COLUMN()-COLUMN($F$2))</f>
        <v>-0.18826485650926789</v>
      </c>
      <c r="J5" s="21" cm="1">
        <f t="array" ref="J5">INDEX($C$2:$C$25, ROW()-ROW($F$2)+1 + COLUMN()-COLUMN($F$2))</f>
        <v>0.17154789250631067</v>
      </c>
      <c r="K5" s="21" cm="1">
        <f t="array" ref="K5">INDEX($C$2:$C$25, ROW()-ROW($F$2)+1 + COLUMN()-COLUMN($F$2))</f>
        <v>0.57593921219639055</v>
      </c>
      <c r="L5" s="21" cm="1">
        <f t="array" ref="L5">INDEX($C$2:$C$25, ROW()-ROW($F$2)+1 + COLUMN()-COLUMN($F$2))</f>
        <v>0.17791625974552772</v>
      </c>
      <c r="M5" s="21" cm="1">
        <f t="array" ref="M5">INDEX($C$2:$C$25, ROW()-ROW($F$2)+1 + COLUMN()-COLUMN($F$2))</f>
        <v>-0.630866379634623</v>
      </c>
      <c r="N5" s="21" cm="1">
        <f t="array" ref="N5">INDEX($C$2:$C$25, ROW()-ROW($F$2)+1 + COLUMN()-COLUMN($F$2))</f>
        <v>-0.4748413822738819</v>
      </c>
      <c r="O5" s="21" cm="1">
        <f t="array" ref="O5">INDEX($C$2:$C$25, ROW()-ROW($F$2)+1 + COLUMN()-COLUMN($F$2))</f>
        <v>-0.14050210221516254</v>
      </c>
      <c r="P5" s="21" cm="1">
        <f t="array" ref="P5">INDEX($C$2:$C$25, ROW()-ROW($F$2)+1 + COLUMN()-COLUMN($F$2))</f>
        <v>-0.18508067288965485</v>
      </c>
      <c r="Q5" s="21" cm="1">
        <f t="array" ref="Q5">INDEX($C$2:$C$25, ROW()-ROW($F$2)+1 + COLUMN()-COLUMN($F$2))</f>
        <v>0.18428462698474479</v>
      </c>
      <c r="R5" s="21" cm="1">
        <f t="array" ref="R5">INDEX($C$2:$C$25, ROW()-ROW($F$2)+1 + COLUMN()-COLUMN($F$2))</f>
        <v>0.59822849753363672</v>
      </c>
      <c r="T5" s="295">
        <v>0.11540275670783566</v>
      </c>
      <c r="U5" s="295">
        <v>0.20338419471669072</v>
      </c>
      <c r="V5" s="295">
        <v>9.5276650978825525E-2</v>
      </c>
      <c r="W5" s="295">
        <v>5.3825819527421367E-2</v>
      </c>
      <c r="X5" s="295">
        <v>-0.62086859603164435</v>
      </c>
      <c r="Y5" s="295">
        <v>0.17916606041180644</v>
      </c>
      <c r="Z5" s="295">
        <v>-0.19064020645355828</v>
      </c>
      <c r="AA5" s="295">
        <v>7.8548195224985903E-3</v>
      </c>
      <c r="AB5" s="295">
        <v>-0.56104600242762181</v>
      </c>
      <c r="AC5" s="295">
        <v>-0.30958864293750804</v>
      </c>
      <c r="AD5" s="295">
        <v>-0.15574201238253552</v>
      </c>
      <c r="AE5" s="295">
        <v>-0.2109151907024901</v>
      </c>
      <c r="AJ5" s="291"/>
      <c r="AK5" s="21"/>
    </row>
    <row r="6" spans="1:37" x14ac:dyDescent="0.3">
      <c r="A6" vm="5">
        <v>213.55</v>
      </c>
      <c r="B6" s="293">
        <f t="shared" si="0"/>
        <v>211.44188158184213</v>
      </c>
      <c r="C6" s="21">
        <f t="shared" si="1"/>
        <v>0.93893614483158216</v>
      </c>
      <c r="D6" s="292" cm="1">
        <f t="array" ref="D6">AVERAGE(IF(((ROW($F$16:$R$27)-ROW($F$16)+1)+(COLUMN($F$16:$R$27)-COLUMN($F$16)+1)) = ROW()-ROW($D$2)+2, $F$16:$R$27))</f>
        <v>0.26767253130258817</v>
      </c>
      <c r="F6" s="21" cm="1">
        <f t="array" ref="F6">INDEX($C$2:$C$25, ROW()-ROW($F$2)+1 + COLUMN()-COLUMN($F$2))</f>
        <v>0.93893614483158216</v>
      </c>
      <c r="G6" s="21" cm="1">
        <f t="array" ref="G6">INDEX($C$2:$C$25, ROW()-ROW($F$2)+1 + COLUMN()-COLUMN($F$2))</f>
        <v>-0.20736995822691004</v>
      </c>
      <c r="H6" s="21" cm="1">
        <f t="array" ref="H6">INDEX($C$2:$C$25, ROW()-ROW($F$2)+1 + COLUMN()-COLUMN($F$2))</f>
        <v>-0.18826485650926789</v>
      </c>
      <c r="I6" s="21" cm="1">
        <f t="array" ref="I6">INDEX($C$2:$C$25, ROW()-ROW($F$2)+1 + COLUMN()-COLUMN($F$2))</f>
        <v>0.17154789250631067</v>
      </c>
      <c r="J6" s="21" cm="1">
        <f t="array" ref="J6">INDEX($C$2:$C$25, ROW()-ROW($F$2)+1 + COLUMN()-COLUMN($F$2))</f>
        <v>0.57593921219639055</v>
      </c>
      <c r="K6" s="21" cm="1">
        <f t="array" ref="K6">INDEX($C$2:$C$25, ROW()-ROW($F$2)+1 + COLUMN()-COLUMN($F$2))</f>
        <v>0.17791625974552772</v>
      </c>
      <c r="L6" s="21" cm="1">
        <f t="array" ref="L6">INDEX($C$2:$C$25, ROW()-ROW($F$2)+1 + COLUMN()-COLUMN($F$2))</f>
        <v>-0.630866379634623</v>
      </c>
      <c r="M6" s="21" cm="1">
        <f t="array" ref="M6">INDEX($C$2:$C$25, ROW()-ROW($F$2)+1 + COLUMN()-COLUMN($F$2))</f>
        <v>-0.4748413822738819</v>
      </c>
      <c r="N6" s="21" cm="1">
        <f t="array" ref="N6">INDEX($C$2:$C$25, ROW()-ROW($F$2)+1 + COLUMN()-COLUMN($F$2))</f>
        <v>-0.14050210221516254</v>
      </c>
      <c r="O6" s="21" cm="1">
        <f t="array" ref="O6">INDEX($C$2:$C$25, ROW()-ROW($F$2)+1 + COLUMN()-COLUMN($F$2))</f>
        <v>-0.18508067288965485</v>
      </c>
      <c r="P6" s="21" cm="1">
        <f t="array" ref="P6">INDEX($C$2:$C$25, ROW()-ROW($F$2)+1 + COLUMN()-COLUMN($F$2))</f>
        <v>0.18428462698474479</v>
      </c>
      <c r="Q6" s="21" cm="1">
        <f t="array" ref="Q6">INDEX($C$2:$C$25, ROW()-ROW($F$2)+1 + COLUMN()-COLUMN($F$2))</f>
        <v>0.59822849753363672</v>
      </c>
      <c r="R6" s="21" cm="1">
        <f t="array" ref="R6">INDEX($C$2:$C$25, ROW()-ROW($F$2)+1 + COLUMN()-COLUMN($F$2))</f>
        <v>1.2095917524981672</v>
      </c>
      <c r="T6" s="295">
        <v>0.19284492930655123</v>
      </c>
      <c r="U6" s="295">
        <v>0.15061647598145328</v>
      </c>
      <c r="V6" s="295">
        <v>-0.21541743598548091</v>
      </c>
      <c r="W6" s="295">
        <v>0.40099773258911758</v>
      </c>
      <c r="X6" s="295">
        <v>-0.18602561539770826</v>
      </c>
      <c r="Y6" s="295">
        <v>0.55280157657590989</v>
      </c>
      <c r="Z6" s="295">
        <v>-1.0225766418461308E-2</v>
      </c>
      <c r="AA6" s="295">
        <v>2.3942261070643463E-2</v>
      </c>
      <c r="AB6" s="295">
        <v>0.58205703842686329</v>
      </c>
      <c r="AC6" s="295">
        <v>-0.22468254871586754</v>
      </c>
      <c r="AD6" s="295">
        <v>3.7871755531007981E-2</v>
      </c>
      <c r="AE6" s="295">
        <v>3.6631035691986787E-2</v>
      </c>
      <c r="AJ6" s="291"/>
      <c r="AK6" s="21"/>
    </row>
    <row r="7" spans="1:37" x14ac:dyDescent="0.3">
      <c r="A7" vm="6">
        <v>209.95</v>
      </c>
      <c r="B7" s="293">
        <f t="shared" si="0"/>
        <v>211.20079069207682</v>
      </c>
      <c r="C7" s="21">
        <f t="shared" si="1"/>
        <v>-0.20736995822691004</v>
      </c>
      <c r="D7" s="292" cm="1">
        <f t="array" ref="D7">AVERAGE(IF(((ROW($F$16:$R$27)-ROW($F$16)+1)+(COLUMN($F$16:$R$27)-COLUMN($F$16)+1)) = ROW()-ROW($D$2)+2, $F$16:$R$27))</f>
        <v>0.19090476509987012</v>
      </c>
      <c r="F7" s="21" cm="1">
        <f t="array" ref="F7">INDEX($C$2:$C$25, ROW()-ROW($F$2)+1 + COLUMN()-COLUMN($F$2))</f>
        <v>-0.20736995822691004</v>
      </c>
      <c r="G7" s="21" cm="1">
        <f t="array" ref="G7">INDEX($C$2:$C$25, ROW()-ROW($F$2)+1 + COLUMN()-COLUMN($F$2))</f>
        <v>-0.18826485650926789</v>
      </c>
      <c r="H7" s="21" cm="1">
        <f t="array" ref="H7">INDEX($C$2:$C$25, ROW()-ROW($F$2)+1 + COLUMN()-COLUMN($F$2))</f>
        <v>0.17154789250631067</v>
      </c>
      <c r="I7" s="21" cm="1">
        <f t="array" ref="I7">INDEX($C$2:$C$25, ROW()-ROW($F$2)+1 + COLUMN()-COLUMN($F$2))</f>
        <v>0.57593921219639055</v>
      </c>
      <c r="J7" s="21" cm="1">
        <f t="array" ref="J7">INDEX($C$2:$C$25, ROW()-ROW($F$2)+1 + COLUMN()-COLUMN($F$2))</f>
        <v>0.17791625974552772</v>
      </c>
      <c r="K7" s="21" cm="1">
        <f t="array" ref="K7">INDEX($C$2:$C$25, ROW()-ROW($F$2)+1 + COLUMN()-COLUMN($F$2))</f>
        <v>-0.630866379634623</v>
      </c>
      <c r="L7" s="21" cm="1">
        <f t="array" ref="L7">INDEX($C$2:$C$25, ROW()-ROW($F$2)+1 + COLUMN()-COLUMN($F$2))</f>
        <v>-0.4748413822738819</v>
      </c>
      <c r="M7" s="21" cm="1">
        <f t="array" ref="M7">INDEX($C$2:$C$25, ROW()-ROW($F$2)+1 + COLUMN()-COLUMN($F$2))</f>
        <v>-0.14050210221516254</v>
      </c>
      <c r="N7" s="21" cm="1">
        <f t="array" ref="N7">INDEX($C$2:$C$25, ROW()-ROW($F$2)+1 + COLUMN()-COLUMN($F$2))</f>
        <v>-0.18508067288965485</v>
      </c>
      <c r="O7" s="21" cm="1">
        <f t="array" ref="O7">INDEX($C$2:$C$25, ROW()-ROW($F$2)+1 + COLUMN()-COLUMN($F$2))</f>
        <v>0.18428462698474479</v>
      </c>
      <c r="P7" s="21" cm="1">
        <f t="array" ref="P7">INDEX($C$2:$C$25, ROW()-ROW($F$2)+1 + COLUMN()-COLUMN($F$2))</f>
        <v>0.59822849753363672</v>
      </c>
      <c r="Q7" s="21" cm="1">
        <f t="array" ref="Q7">INDEX($C$2:$C$25, ROW()-ROW($F$2)+1 + COLUMN()-COLUMN($F$2))</f>
        <v>1.2095917524981672</v>
      </c>
      <c r="R7" s="21" cm="1">
        <f t="array" ref="R7">INDEX($C$2:$C$25, ROW()-ROW($F$2)+1 + COLUMN()-COLUMN($F$2))</f>
        <v>1.1299871620079944</v>
      </c>
      <c r="T7" s="295">
        <v>0.18410233910320389</v>
      </c>
      <c r="U7" s="295">
        <v>-1.3773551760727459E-2</v>
      </c>
      <c r="V7" s="295">
        <v>-0.48603110958168466</v>
      </c>
      <c r="W7" s="295">
        <v>-2.4344892189917568E-2</v>
      </c>
      <c r="X7" s="295">
        <v>-3.7406884204748546E-2</v>
      </c>
      <c r="Y7" s="295">
        <v>0.34202664844710018</v>
      </c>
      <c r="Z7" s="295">
        <v>0.24204644828804325</v>
      </c>
      <c r="AA7" s="295">
        <v>-0.12990639776835824</v>
      </c>
      <c r="AB7" s="295">
        <v>-0.28448135283894471</v>
      </c>
      <c r="AC7" s="295">
        <v>0.65465916753209508</v>
      </c>
      <c r="AD7" s="295">
        <v>-7.0042236833137116E-3</v>
      </c>
      <c r="AE7" s="295">
        <v>-0.16030196914417633</v>
      </c>
      <c r="AJ7" s="291"/>
      <c r="AK7" s="21"/>
    </row>
    <row r="8" spans="1:37" x14ac:dyDescent="0.3">
      <c r="A8" vm="7">
        <v>210.01</v>
      </c>
      <c r="B8" s="293">
        <f t="shared" si="0"/>
        <v>211.08989661785648</v>
      </c>
      <c r="C8" s="21">
        <f t="shared" si="1"/>
        <v>-0.18826485650926789</v>
      </c>
      <c r="D8" s="292" cm="1">
        <f t="array" ref="D8">AVERAGE(IF(((ROW($F$16:$R$27)-ROW($F$16)+1)+(COLUMN($F$16:$R$27)-COLUMN($F$16)+1)) = ROW()-ROW($D$2)+2, $F$16:$R$27))</f>
        <v>0.15559405563548245</v>
      </c>
      <c r="F8" s="21" cm="1">
        <f t="array" ref="F8">INDEX($C$2:$C$25, ROW()-ROW($F$2)+1 + COLUMN()-COLUMN($F$2))</f>
        <v>-0.18826485650926789</v>
      </c>
      <c r="G8" s="21" cm="1">
        <f t="array" ref="G8">INDEX($C$2:$C$25, ROW()-ROW($F$2)+1 + COLUMN()-COLUMN($F$2))</f>
        <v>0.17154789250631067</v>
      </c>
      <c r="H8" s="21" cm="1">
        <f t="array" ref="H8">INDEX($C$2:$C$25, ROW()-ROW($F$2)+1 + COLUMN()-COLUMN($F$2))</f>
        <v>0.57593921219639055</v>
      </c>
      <c r="I8" s="21" cm="1">
        <f t="array" ref="I8">INDEX($C$2:$C$25, ROW()-ROW($F$2)+1 + COLUMN()-COLUMN($F$2))</f>
        <v>0.17791625974552772</v>
      </c>
      <c r="J8" s="21" cm="1">
        <f t="array" ref="J8">INDEX($C$2:$C$25, ROW()-ROW($F$2)+1 + COLUMN()-COLUMN($F$2))</f>
        <v>-0.630866379634623</v>
      </c>
      <c r="K8" s="21" cm="1">
        <f t="array" ref="K8">INDEX($C$2:$C$25, ROW()-ROW($F$2)+1 + COLUMN()-COLUMN($F$2))</f>
        <v>-0.4748413822738819</v>
      </c>
      <c r="L8" s="21" cm="1">
        <f t="array" ref="L8">INDEX($C$2:$C$25, ROW()-ROW($F$2)+1 + COLUMN()-COLUMN($F$2))</f>
        <v>-0.14050210221516254</v>
      </c>
      <c r="M8" s="21" cm="1">
        <f t="array" ref="M8">INDEX($C$2:$C$25, ROW()-ROW($F$2)+1 + COLUMN()-COLUMN($F$2))</f>
        <v>-0.18508067288965485</v>
      </c>
      <c r="N8" s="21" cm="1">
        <f t="array" ref="N8">INDEX($C$2:$C$25, ROW()-ROW($F$2)+1 + COLUMN()-COLUMN($F$2))</f>
        <v>0.18428462698474479</v>
      </c>
      <c r="O8" s="21" cm="1">
        <f t="array" ref="O8">INDEX($C$2:$C$25, ROW()-ROW($F$2)+1 + COLUMN()-COLUMN($F$2))</f>
        <v>0.59822849753363672</v>
      </c>
      <c r="P8" s="21" cm="1">
        <f t="array" ref="P8">INDEX($C$2:$C$25, ROW()-ROW($F$2)+1 + COLUMN()-COLUMN($F$2))</f>
        <v>1.2095917524981672</v>
      </c>
      <c r="Q8" s="21" cm="1">
        <f t="array" ref="Q8">INDEX($C$2:$C$25, ROW()-ROW($F$2)+1 + COLUMN()-COLUMN($F$2))</f>
        <v>1.1299871620079944</v>
      </c>
      <c r="R8" s="21" cm="1">
        <f t="array" ref="R8">INDEX($C$2:$C$25, ROW()-ROW($F$2)+1 + COLUMN()-COLUMN($F$2))</f>
        <v>1.0058040008433207</v>
      </c>
      <c r="T8" s="295">
        <v>0.30596308321051585</v>
      </c>
      <c r="U8" s="295">
        <v>-7.7010595380550106E-2</v>
      </c>
      <c r="V8" s="295">
        <v>-0.35466897098186223</v>
      </c>
      <c r="W8" s="295">
        <v>-0.36122352260502349</v>
      </c>
      <c r="X8" s="295">
        <v>4.1965288563970357E-4</v>
      </c>
      <c r="Y8" s="295">
        <v>-2.095571951135803E-2</v>
      </c>
      <c r="Z8" s="295">
        <v>0.43525046991920896</v>
      </c>
      <c r="AA8" s="295">
        <v>3.6242265363837345E-2</v>
      </c>
      <c r="AB8" s="295">
        <v>-0.15892308932592428</v>
      </c>
      <c r="AC8" s="295">
        <v>-0.47448521865330034</v>
      </c>
      <c r="AD8" s="295">
        <v>0.19194653646361456</v>
      </c>
      <c r="AE8" s="295">
        <v>0.40712579394668608</v>
      </c>
      <c r="AJ8" s="291"/>
      <c r="AK8" s="21"/>
    </row>
    <row r="9" spans="1:37" x14ac:dyDescent="0.3">
      <c r="A9" vm="8">
        <v>211.14</v>
      </c>
      <c r="B9" s="293">
        <f t="shared" si="0"/>
        <v>211.06461144343268</v>
      </c>
      <c r="C9" s="21">
        <f t="shared" si="1"/>
        <v>0.17154789250631067</v>
      </c>
      <c r="D9" s="292" cm="1">
        <f t="array" ref="D9">AVERAGE(IF(((ROW($F$16:$R$27)-ROW($F$16)+1)+(COLUMN($F$16:$R$27)-COLUMN($F$16)+1)) = ROW()-ROW($D$2)+2, $F$16:$R$27))</f>
        <v>0.14754279181357222</v>
      </c>
      <c r="F9" s="21" cm="1">
        <f t="array" ref="F9">INDEX($C$2:$C$25, ROW()-ROW($F$2)+1 + COLUMN()-COLUMN($F$2))</f>
        <v>0.17154789250631067</v>
      </c>
      <c r="G9" s="21" cm="1">
        <f t="array" ref="G9">INDEX($C$2:$C$25, ROW()-ROW($F$2)+1 + COLUMN()-COLUMN($F$2))</f>
        <v>0.57593921219639055</v>
      </c>
      <c r="H9" s="21" cm="1">
        <f t="array" ref="H9">INDEX($C$2:$C$25, ROW()-ROW($F$2)+1 + COLUMN()-COLUMN($F$2))</f>
        <v>0.17791625974552772</v>
      </c>
      <c r="I9" s="21" cm="1">
        <f t="array" ref="I9">INDEX($C$2:$C$25, ROW()-ROW($F$2)+1 + COLUMN()-COLUMN($F$2))</f>
        <v>-0.630866379634623</v>
      </c>
      <c r="J9" s="21" cm="1">
        <f t="array" ref="J9">INDEX($C$2:$C$25, ROW()-ROW($F$2)+1 + COLUMN()-COLUMN($F$2))</f>
        <v>-0.4748413822738819</v>
      </c>
      <c r="K9" s="21" cm="1">
        <f t="array" ref="K9">INDEX($C$2:$C$25, ROW()-ROW($F$2)+1 + COLUMN()-COLUMN($F$2))</f>
        <v>-0.14050210221516254</v>
      </c>
      <c r="L9" s="21" cm="1">
        <f t="array" ref="L9">INDEX($C$2:$C$25, ROW()-ROW($F$2)+1 + COLUMN()-COLUMN($F$2))</f>
        <v>-0.18508067288965485</v>
      </c>
      <c r="M9" s="21" cm="1">
        <f t="array" ref="M9">INDEX($C$2:$C$25, ROW()-ROW($F$2)+1 + COLUMN()-COLUMN($F$2))</f>
        <v>0.18428462698474479</v>
      </c>
      <c r="N9" s="21" cm="1">
        <f t="array" ref="N9">INDEX($C$2:$C$25, ROW()-ROW($F$2)+1 + COLUMN()-COLUMN($F$2))</f>
        <v>0.59822849753363672</v>
      </c>
      <c r="O9" s="21" cm="1">
        <f t="array" ref="O9">INDEX($C$2:$C$25, ROW()-ROW($F$2)+1 + COLUMN()-COLUMN($F$2))</f>
        <v>1.2095917524981672</v>
      </c>
      <c r="P9" s="21" cm="1">
        <f t="array" ref="P9">INDEX($C$2:$C$25, ROW()-ROW($F$2)+1 + COLUMN()-COLUMN($F$2))</f>
        <v>1.1299871620079944</v>
      </c>
      <c r="Q9" s="21" cm="1">
        <f t="array" ref="Q9">INDEX($C$2:$C$25, ROW()-ROW($F$2)+1 + COLUMN()-COLUMN($F$2))</f>
        <v>1.0058040008433207</v>
      </c>
      <c r="R9" s="21" cm="1">
        <f t="array" ref="R9">INDEX($C$2:$C$25, ROW()-ROW($F$2)+1 + COLUMN()-COLUMN($F$2))</f>
        <v>1.0440142042786049</v>
      </c>
      <c r="T9" s="295">
        <v>0.41871045723060368</v>
      </c>
      <c r="U9" s="295">
        <v>-0.14044806148488018</v>
      </c>
      <c r="V9" s="295">
        <v>-0.14156907423361395</v>
      </c>
      <c r="W9" s="295">
        <v>-0.18225007496567744</v>
      </c>
      <c r="X9" s="295">
        <v>-0.23413193795924406</v>
      </c>
      <c r="Y9" s="295">
        <v>-0.40655451859329994</v>
      </c>
      <c r="Z9" s="295">
        <v>8.4859705153926476E-2</v>
      </c>
      <c r="AA9" s="295">
        <v>0.2549167774119368</v>
      </c>
      <c r="AB9" s="295">
        <v>0.34075403524425163</v>
      </c>
      <c r="AC9" s="295">
        <v>3.8750580282401886E-2</v>
      </c>
      <c r="AD9" s="295">
        <v>-0.45426867266622611</v>
      </c>
      <c r="AE9" s="295">
        <v>-0.36801627888856947</v>
      </c>
      <c r="AJ9" s="291"/>
      <c r="AK9" s="21"/>
    </row>
    <row r="10" spans="1:37" x14ac:dyDescent="0.3">
      <c r="A10" vm="9">
        <v>212.41</v>
      </c>
      <c r="B10" s="293">
        <f t="shared" si="0"/>
        <v>210.92121130864538</v>
      </c>
      <c r="C10" s="21">
        <f t="shared" si="1"/>
        <v>0.57593921219639055</v>
      </c>
      <c r="D10" s="292" cm="1">
        <f t="array" ref="D10">AVERAGE(IF(((ROW($F$16:$R$27)-ROW($F$16)+1)+(COLUMN($F$16:$R$27)-COLUMN($F$16)+1)) = ROW()-ROW($D$2)+2, $F$16:$R$27))</f>
        <v>0.10188155578965152</v>
      </c>
      <c r="F10" s="21" cm="1">
        <f t="array" ref="F10">INDEX($C$2:$C$25, ROW()-ROW($F$2)+1 + COLUMN()-COLUMN($F$2))</f>
        <v>0.57593921219639055</v>
      </c>
      <c r="G10" s="21" cm="1">
        <f t="array" ref="G10">INDEX($C$2:$C$25, ROW()-ROW($F$2)+1 + COLUMN()-COLUMN($F$2))</f>
        <v>0.17791625974552772</v>
      </c>
      <c r="H10" s="21" cm="1">
        <f t="array" ref="H10">INDEX($C$2:$C$25, ROW()-ROW($F$2)+1 + COLUMN()-COLUMN($F$2))</f>
        <v>-0.630866379634623</v>
      </c>
      <c r="I10" s="21" cm="1">
        <f t="array" ref="I10">INDEX($C$2:$C$25, ROW()-ROW($F$2)+1 + COLUMN()-COLUMN($F$2))</f>
        <v>-0.4748413822738819</v>
      </c>
      <c r="J10" s="21" cm="1">
        <f t="array" ref="J10">INDEX($C$2:$C$25, ROW()-ROW($F$2)+1 + COLUMN()-COLUMN($F$2))</f>
        <v>-0.14050210221516254</v>
      </c>
      <c r="K10" s="21" cm="1">
        <f t="array" ref="K10">INDEX($C$2:$C$25, ROW()-ROW($F$2)+1 + COLUMN()-COLUMN($F$2))</f>
        <v>-0.18508067288965485</v>
      </c>
      <c r="L10" s="21" cm="1">
        <f t="array" ref="L10">INDEX($C$2:$C$25, ROW()-ROW($F$2)+1 + COLUMN()-COLUMN($F$2))</f>
        <v>0.18428462698474479</v>
      </c>
      <c r="M10" s="21" cm="1">
        <f t="array" ref="M10">INDEX($C$2:$C$25, ROW()-ROW($F$2)+1 + COLUMN()-COLUMN($F$2))</f>
        <v>0.59822849753363672</v>
      </c>
      <c r="N10" s="21" cm="1">
        <f t="array" ref="N10">INDEX($C$2:$C$25, ROW()-ROW($F$2)+1 + COLUMN()-COLUMN($F$2))</f>
        <v>1.2095917524981672</v>
      </c>
      <c r="O10" s="21" cm="1">
        <f t="array" ref="O10">INDEX($C$2:$C$25, ROW()-ROW($F$2)+1 + COLUMN()-COLUMN($F$2))</f>
        <v>1.1299871620079944</v>
      </c>
      <c r="P10" s="21" cm="1">
        <f t="array" ref="P10">INDEX($C$2:$C$25, ROW()-ROW($F$2)+1 + COLUMN()-COLUMN($F$2))</f>
        <v>1.0058040008433207</v>
      </c>
      <c r="Q10" s="21" cm="1">
        <f t="array" ref="Q10">INDEX($C$2:$C$25, ROW()-ROW($F$2)+1 + COLUMN()-COLUMN($F$2))</f>
        <v>1.0440142042786049</v>
      </c>
      <c r="R10" s="21" cm="1">
        <f t="array" ref="R10">INDEX($C$2:$C$25, ROW()-ROW($F$2)+1 + COLUMN()-COLUMN($F$2))</f>
        <v>1.0981453258119274</v>
      </c>
      <c r="T10" s="295">
        <v>0.43787943535307222</v>
      </c>
      <c r="U10" s="295">
        <v>-0.25402857657139766</v>
      </c>
      <c r="V10" s="295">
        <v>-6.758653341690124E-2</v>
      </c>
      <c r="W10" s="295">
        <v>0.18549559618286254</v>
      </c>
      <c r="X10" s="295">
        <v>-5.8589853745708985E-2</v>
      </c>
      <c r="Y10" s="295">
        <v>-0.18258419833860579</v>
      </c>
      <c r="Z10" s="295">
        <v>-0.48439524396142852</v>
      </c>
      <c r="AA10" s="295">
        <v>0.27062541684931751</v>
      </c>
      <c r="AB10" s="295">
        <v>-8.4812939223046224E-2</v>
      </c>
      <c r="AC10" s="295">
        <v>0.14035219503327331</v>
      </c>
      <c r="AD10" s="295">
        <v>0.57254551059421865</v>
      </c>
      <c r="AE10" s="295">
        <v>7.3536131277880931E-2</v>
      </c>
      <c r="AJ10" s="291"/>
      <c r="AK10" s="21"/>
    </row>
    <row r="11" spans="1:37" x14ac:dyDescent="0.3">
      <c r="A11" vm="10">
        <v>211.16</v>
      </c>
      <c r="B11" s="293">
        <f t="shared" si="0"/>
        <v>210.52696193824897</v>
      </c>
      <c r="C11" s="21">
        <f t="shared" si="1"/>
        <v>0.17791625974552772</v>
      </c>
      <c r="D11" s="292" cm="1">
        <f t="array" ref="D11">AVERAGE(IF(((ROW($F$16:$R$27)-ROW($F$16)+1)+(COLUMN($F$16:$R$27)-COLUMN($F$16)+1)) = ROW()-ROW($D$2)+2, $F$16:$R$27))</f>
        <v>-2.3654682936004923E-2</v>
      </c>
      <c r="F11" s="21" cm="1">
        <f t="array" ref="F11">INDEX($C$2:$C$25, ROW()-ROW($F$2)+1 + COLUMN()-COLUMN($F$2))</f>
        <v>0.17791625974552772</v>
      </c>
      <c r="G11" s="21" cm="1">
        <f t="array" ref="G11">INDEX($C$2:$C$25, ROW()-ROW($F$2)+1 + COLUMN()-COLUMN($F$2))</f>
        <v>-0.630866379634623</v>
      </c>
      <c r="H11" s="21" cm="1">
        <f t="array" ref="H11">INDEX($C$2:$C$25, ROW()-ROW($F$2)+1 + COLUMN()-COLUMN($F$2))</f>
        <v>-0.4748413822738819</v>
      </c>
      <c r="I11" s="21" cm="1">
        <f t="array" ref="I11">INDEX($C$2:$C$25, ROW()-ROW($F$2)+1 + COLUMN()-COLUMN($F$2))</f>
        <v>-0.14050210221516254</v>
      </c>
      <c r="J11" s="21" cm="1">
        <f t="array" ref="J11">INDEX($C$2:$C$25, ROW()-ROW($F$2)+1 + COLUMN()-COLUMN($F$2))</f>
        <v>-0.18508067288965485</v>
      </c>
      <c r="K11" s="21" cm="1">
        <f t="array" ref="K11">INDEX($C$2:$C$25, ROW()-ROW($F$2)+1 + COLUMN()-COLUMN($F$2))</f>
        <v>0.18428462698474479</v>
      </c>
      <c r="L11" s="21" cm="1">
        <f t="array" ref="L11">INDEX($C$2:$C$25, ROW()-ROW($F$2)+1 + COLUMN()-COLUMN($F$2))</f>
        <v>0.59822849753363672</v>
      </c>
      <c r="M11" s="21" cm="1">
        <f t="array" ref="M11">INDEX($C$2:$C$25, ROW()-ROW($F$2)+1 + COLUMN()-COLUMN($F$2))</f>
        <v>1.2095917524981672</v>
      </c>
      <c r="N11" s="21" cm="1">
        <f t="array" ref="N11">INDEX($C$2:$C$25, ROW()-ROW($F$2)+1 + COLUMN()-COLUMN($F$2))</f>
        <v>1.1299871620079944</v>
      </c>
      <c r="O11" s="21" cm="1">
        <f t="array" ref="O11">INDEX($C$2:$C$25, ROW()-ROW($F$2)+1 + COLUMN()-COLUMN($F$2))</f>
        <v>1.0058040008433207</v>
      </c>
      <c r="P11" s="21" cm="1">
        <f t="array" ref="P11">INDEX($C$2:$C$25, ROW()-ROW($F$2)+1 + COLUMN()-COLUMN($F$2))</f>
        <v>1.0440142042786049</v>
      </c>
      <c r="Q11" s="21" cm="1">
        <f t="array" ref="Q11">INDEX($C$2:$C$25, ROW()-ROW($F$2)+1 + COLUMN()-COLUMN($F$2))</f>
        <v>1.0981453258119274</v>
      </c>
      <c r="R11" s="21" cm="1">
        <f t="array" ref="R11">INDEX($C$2:$C$25, ROW()-ROW($F$2)+1 + COLUMN()-COLUMN($F$2))</f>
        <v>0.21294227956120801</v>
      </c>
      <c r="T11" s="295">
        <v>0.28749466590714051</v>
      </c>
      <c r="U11" s="295">
        <v>-0.4183626242186062</v>
      </c>
      <c r="V11" s="295">
        <v>2.6532495613126154E-2</v>
      </c>
      <c r="W11" s="295">
        <v>7.4260183886591391E-2</v>
      </c>
      <c r="X11" s="295">
        <v>0.3050684206210581</v>
      </c>
      <c r="Y11" s="295">
        <v>0.22046813777049182</v>
      </c>
      <c r="Z11" s="295">
        <v>-0.34452564804300267</v>
      </c>
      <c r="AA11" s="295">
        <v>-0.22309817967171694</v>
      </c>
      <c r="AB11" s="295">
        <v>-0.15073753492869588</v>
      </c>
      <c r="AC11" s="295">
        <v>-7.9182087296079048E-2</v>
      </c>
      <c r="AD11" s="295">
        <v>-0.55269451088280863</v>
      </c>
      <c r="AE11" s="295">
        <v>0.30248056596756062</v>
      </c>
      <c r="AJ11" s="291"/>
      <c r="AK11" s="21"/>
    </row>
    <row r="12" spans="1:37" x14ac:dyDescent="0.3">
      <c r="A12" vm="11">
        <v>208.62</v>
      </c>
      <c r="B12" s="293">
        <f t="shared" si="0"/>
        <v>210.08496631036326</v>
      </c>
      <c r="C12" s="21">
        <f t="shared" si="1"/>
        <v>-0.630866379634623</v>
      </c>
      <c r="D12" s="292" cm="1">
        <f t="array" ref="D12">AVERAGE(IF(((ROW($F$16:$R$27)-ROW($F$16)+1)+(COLUMN($F$16:$R$27)-COLUMN($F$16)+1)) = ROW()-ROW($D$2)+2, $F$16:$R$27))</f>
        <v>-0.16439420676116467</v>
      </c>
      <c r="F12" s="21" cm="1">
        <f t="array" ref="F12">INDEX($C$2:$C$25, ROW()-ROW($F$2)+1 + COLUMN()-COLUMN($F$2))</f>
        <v>-0.630866379634623</v>
      </c>
      <c r="G12" s="21" cm="1">
        <f t="array" ref="G12">INDEX($C$2:$C$25, ROW()-ROW($F$2)+1 + COLUMN()-COLUMN($F$2))</f>
        <v>-0.4748413822738819</v>
      </c>
      <c r="H12" s="21" cm="1">
        <f t="array" ref="H12">INDEX($C$2:$C$25, ROW()-ROW($F$2)+1 + COLUMN()-COLUMN($F$2))</f>
        <v>-0.14050210221516254</v>
      </c>
      <c r="I12" s="21" cm="1">
        <f t="array" ref="I12">INDEX($C$2:$C$25, ROW()-ROW($F$2)+1 + COLUMN()-COLUMN($F$2))</f>
        <v>-0.18508067288965485</v>
      </c>
      <c r="J12" s="21" cm="1">
        <f t="array" ref="J12">INDEX($C$2:$C$25, ROW()-ROW($F$2)+1 + COLUMN()-COLUMN($F$2))</f>
        <v>0.18428462698474479</v>
      </c>
      <c r="K12" s="21" cm="1">
        <f t="array" ref="K12">INDEX($C$2:$C$25, ROW()-ROW($F$2)+1 + COLUMN()-COLUMN($F$2))</f>
        <v>0.59822849753363672</v>
      </c>
      <c r="L12" s="21" cm="1">
        <f t="array" ref="L12">INDEX($C$2:$C$25, ROW()-ROW($F$2)+1 + COLUMN()-COLUMN($F$2))</f>
        <v>1.2095917524981672</v>
      </c>
      <c r="M12" s="21" cm="1">
        <f t="array" ref="M12">INDEX($C$2:$C$25, ROW()-ROW($F$2)+1 + COLUMN()-COLUMN($F$2))</f>
        <v>1.1299871620079944</v>
      </c>
      <c r="N12" s="21" cm="1">
        <f t="array" ref="N12">INDEX($C$2:$C$25, ROW()-ROW($F$2)+1 + COLUMN()-COLUMN($F$2))</f>
        <v>1.0058040008433207</v>
      </c>
      <c r="O12" s="21" cm="1">
        <f t="array" ref="O12">INDEX($C$2:$C$25, ROW()-ROW($F$2)+1 + COLUMN()-COLUMN($F$2))</f>
        <v>1.0440142042786049</v>
      </c>
      <c r="P12" s="21" cm="1">
        <f t="array" ref="P12">INDEX($C$2:$C$25, ROW()-ROW($F$2)+1 + COLUMN()-COLUMN($F$2))</f>
        <v>1.0981453258119274</v>
      </c>
      <c r="Q12" s="21" cm="1">
        <f t="array" ref="Q12">INDEX($C$2:$C$25, ROW()-ROW($F$2)+1 + COLUMN()-COLUMN($F$2))</f>
        <v>0.21294227956120801</v>
      </c>
      <c r="R12" s="21" cm="1">
        <f t="array" ref="R12">INDEX($C$2:$C$25, ROW()-ROW($F$2)+1 + COLUMN()-COLUMN($F$2))</f>
        <v>-0.49394648399152402</v>
      </c>
      <c r="T12" s="295">
        <v>8.3591836474356279E-2</v>
      </c>
      <c r="U12" s="295">
        <v>-0.49924125490438925</v>
      </c>
      <c r="V12" s="295">
        <v>0.22612432221251397</v>
      </c>
      <c r="W12" s="295">
        <v>-0.15090414286675718</v>
      </c>
      <c r="X12" s="295">
        <v>-5.0847149810428961E-2</v>
      </c>
      <c r="Y12" s="295">
        <v>0.14570592483227651</v>
      </c>
      <c r="Z12" s="295">
        <v>0.12903243576590606</v>
      </c>
      <c r="AA12" s="295">
        <v>-0.51632093848182681</v>
      </c>
      <c r="AB12" s="295">
        <v>0.10258651674407725</v>
      </c>
      <c r="AC12" s="295">
        <v>-0.17080921436138563</v>
      </c>
      <c r="AD12" s="295">
        <v>0.30343058336193213</v>
      </c>
      <c r="AE12" s="295">
        <v>-0.4806704428488226</v>
      </c>
      <c r="AJ12" s="291"/>
      <c r="AK12" s="21"/>
    </row>
    <row r="13" spans="1:37" x14ac:dyDescent="0.3">
      <c r="A13" vm="12">
        <v>209.11</v>
      </c>
      <c r="B13" s="293">
        <f t="shared" si="0"/>
        <v>209.87178320883407</v>
      </c>
      <c r="C13" s="21">
        <f t="shared" si="1"/>
        <v>-0.4748413822738819</v>
      </c>
      <c r="D13" s="292" cm="1">
        <f t="array" ref="D13">AVERAGE(IF(((ROW($F$16:$R$27)-ROW($F$16)+1)+(COLUMN($F$16:$R$27)-COLUMN($F$16)+1)) = ROW()-ROW($D$2)+2, $F$16:$R$27))</f>
        <v>-0.23227562074778499</v>
      </c>
      <c r="F13" s="21" cm="1">
        <f t="array" ref="F13">INDEX($C$2:$C$25, ROW()-ROW($F$2)+1 + COLUMN()-COLUMN($F$2))</f>
        <v>-0.4748413822738819</v>
      </c>
      <c r="G13" s="21" cm="1">
        <f t="array" ref="G13">INDEX($C$2:$C$25, ROW()-ROW($F$2)+1 + COLUMN()-COLUMN($F$2))</f>
        <v>-0.14050210221516254</v>
      </c>
      <c r="H13" s="21" cm="1">
        <f t="array" ref="H13">INDEX($C$2:$C$25, ROW()-ROW($F$2)+1 + COLUMN()-COLUMN($F$2))</f>
        <v>-0.18508067288965485</v>
      </c>
      <c r="I13" s="21" cm="1">
        <f t="array" ref="I13">INDEX($C$2:$C$25, ROW()-ROW($F$2)+1 + COLUMN()-COLUMN($F$2))</f>
        <v>0.18428462698474479</v>
      </c>
      <c r="J13" s="21" cm="1">
        <f t="array" ref="J13">INDEX($C$2:$C$25, ROW()-ROW($F$2)+1 + COLUMN()-COLUMN($F$2))</f>
        <v>0.59822849753363672</v>
      </c>
      <c r="K13" s="21" cm="1">
        <f t="array" ref="K13">INDEX($C$2:$C$25, ROW()-ROW($F$2)+1 + COLUMN()-COLUMN($F$2))</f>
        <v>1.2095917524981672</v>
      </c>
      <c r="L13" s="21" cm="1">
        <f t="array" ref="L13">INDEX($C$2:$C$25, ROW()-ROW($F$2)+1 + COLUMN()-COLUMN($F$2))</f>
        <v>1.1299871620079944</v>
      </c>
      <c r="M13" s="21" cm="1">
        <f t="array" ref="M13">INDEX($C$2:$C$25, ROW()-ROW($F$2)+1 + COLUMN()-COLUMN($F$2))</f>
        <v>1.0058040008433207</v>
      </c>
      <c r="N13" s="21" cm="1">
        <f t="array" ref="N13">INDEX($C$2:$C$25, ROW()-ROW($F$2)+1 + COLUMN()-COLUMN($F$2))</f>
        <v>1.0440142042786049</v>
      </c>
      <c r="O13" s="21" cm="1">
        <f t="array" ref="O13">INDEX($C$2:$C$25, ROW()-ROW($F$2)+1 + COLUMN()-COLUMN($F$2))</f>
        <v>1.0981453258119274</v>
      </c>
      <c r="P13" s="21" cm="1">
        <f t="array" ref="P13">INDEX($C$2:$C$25, ROW()-ROW($F$2)+1 + COLUMN()-COLUMN($F$2))</f>
        <v>0.21294227956120801</v>
      </c>
      <c r="Q13" s="21" cm="1">
        <f t="array" ref="Q13">INDEX($C$2:$C$25, ROW()-ROW($F$2)+1 + COLUMN()-COLUMN($F$2))</f>
        <v>-0.49394648399152402</v>
      </c>
      <c r="R13" s="21" cm="1">
        <f t="array" ref="R13">INDEX($C$2:$C$25, ROW()-ROW($F$2)+1 + COLUMN()-COLUMN($F$2))</f>
        <v>-0.96520565969335148</v>
      </c>
      <c r="T13" s="295">
        <v>-7.3531586144305799E-2</v>
      </c>
      <c r="U13" s="295">
        <v>-0.43185684537391689</v>
      </c>
      <c r="V13" s="295">
        <v>0.45257476804866476</v>
      </c>
      <c r="W13" s="295">
        <v>2.5262660879198904E-2</v>
      </c>
      <c r="X13" s="295">
        <v>-0.28214534930254676</v>
      </c>
      <c r="Y13" s="295">
        <v>0.27024117572390627</v>
      </c>
      <c r="Z13" s="295">
        <v>0.35414003866144722</v>
      </c>
      <c r="AA13" s="295">
        <v>0.46761762886465941</v>
      </c>
      <c r="AB13" s="295">
        <v>-5.383348878175008E-3</v>
      </c>
      <c r="AC13" s="295">
        <v>0.21039283926789354</v>
      </c>
      <c r="AD13" s="295">
        <v>-3.8113846613338741E-2</v>
      </c>
      <c r="AE13" s="295">
        <v>0.24528789344749</v>
      </c>
      <c r="AJ13" s="291"/>
      <c r="AK13" s="21"/>
    </row>
    <row r="14" spans="1:37" x14ac:dyDescent="0.3">
      <c r="A14" vm="13">
        <v>210.16</v>
      </c>
      <c r="B14" s="293">
        <f t="shared" si="0"/>
        <v>209.98888423954747</v>
      </c>
      <c r="C14" s="21">
        <f t="shared" si="1"/>
        <v>-0.14050210221516254</v>
      </c>
      <c r="D14" s="292" cm="1">
        <f t="array" ref="D14">AVERAGE(IF(((ROW($F$16:$R$27)-ROW($F$16)+1)+(COLUMN($F$16:$R$27)-COLUMN($F$16)+1)) = ROW()-ROW($D$2)+2, $F$16:$R$27))</f>
        <v>-0.19498850236411205</v>
      </c>
      <c r="AJ14" s="291"/>
      <c r="AK14" s="21"/>
    </row>
    <row r="15" spans="1:37" x14ac:dyDescent="0.3">
      <c r="A15" vm="14">
        <v>210.02</v>
      </c>
      <c r="B15" s="293">
        <f t="shared" si="0"/>
        <v>210.46131074208884</v>
      </c>
      <c r="C15" s="21">
        <f t="shared" si="1"/>
        <v>-0.18508067288965485</v>
      </c>
      <c r="D15" s="292" cm="1">
        <f t="array" ref="D15">AVERAGE(IF(((ROW($F$16:$R$27)-ROW($F$16)+1)+(COLUMN($F$16:$R$27)-COLUMN($F$16)+1)) = ROW()-ROW($D$2)+2, $F$16:$R$27))</f>
        <v>-4.4559229278070697E-2</v>
      </c>
      <c r="F15" t="s">
        <v>485</v>
      </c>
      <c r="T15" t="s">
        <v>15</v>
      </c>
      <c r="AJ15" s="291"/>
      <c r="AK15" s="21"/>
    </row>
    <row r="16" spans="1:37" x14ac:dyDescent="0.3">
      <c r="A16" vm="15">
        <v>211.18</v>
      </c>
      <c r="B16" s="293">
        <f t="shared" si="0"/>
        <v>210.92540682577749</v>
      </c>
      <c r="C16" s="21">
        <f t="shared" si="1"/>
        <v>0.18428462698474479</v>
      </c>
      <c r="D16" s="292" cm="1">
        <f t="array" ref="D16">AVERAGE(IF(((ROW($F$16:$R$27)-ROW($F$16)+1)+(COLUMN($F$16:$R$27)-COLUMN($F$16)+1)) = ROW()-ROW($D$2)+2, $F$16:$R$27))</f>
        <v>0.10321748548243581</v>
      </c>
      <c r="F16" s="158" cm="1">
        <f t="array" ref="F16">$T$31 * INDEX($T$2:$AE$13, ROW()-ROW($F$16)+1, 1) * INDEX($T$16:$AF$28, COLUMN()-COLUMN($F$16)+1, 1)</f>
        <v>-1.3025487017845694</v>
      </c>
      <c r="G16" s="158" cm="1">
        <f t="array" ref="G16">$T$31 * INDEX($T$2:$AE$13, ROW()-ROW($F$16)+1, 1) * INDEX($T$16:$AF$28, COLUMN()-COLUMN($F$16)+1, 1)</f>
        <v>-0.62096679378573227</v>
      </c>
      <c r="H16" s="158" cm="1">
        <f t="array" ref="H16">$T$31 * INDEX($T$2:$AE$13, ROW()-ROW($F$16)+1, 1) * INDEX($T$16:$AF$28, COLUMN()-COLUMN($F$16)+1, 1)</f>
        <v>2.4834014987496631E-2</v>
      </c>
      <c r="I16" s="158" cm="1">
        <f t="array" ref="I16">$T$31 * INDEX($T$2:$AE$13, ROW()-ROW($F$16)+1, 1) * INDEX($T$16:$AF$28, COLUMN()-COLUMN($F$16)+1, 1)</f>
        <v>0.461389616690214</v>
      </c>
      <c r="J16" s="158" cm="1">
        <f t="array" ref="J16">$T$31 * INDEX($T$2:$AE$13, ROW()-ROW($F$16)+1, 1) * INDEX($T$16:$AF$28, COLUMN()-COLUMN($F$16)+1, 1)</f>
        <v>0.36349280766320402</v>
      </c>
      <c r="K16" s="158" cm="1">
        <f t="array" ref="K16">$T$31 * INDEX($T$2:$AE$13, ROW()-ROW($F$16)+1, 1) * INDEX($T$16:$AF$28, COLUMN()-COLUMN($F$16)+1, 1)</f>
        <v>6.9449349728373133E-2</v>
      </c>
      <c r="L16" s="158" cm="1">
        <f t="array" ref="L16">$T$31 * INDEX($T$2:$AE$13, ROW()-ROW($F$16)+1, 1) * INDEX($T$16:$AF$28, COLUMN()-COLUMN($F$16)+1, 1)</f>
        <v>3.2171363646735646E-2</v>
      </c>
      <c r="M16" s="158" cm="1">
        <f t="array" ref="M16">$T$31 * INDEX($T$2:$AE$13, ROW()-ROW($F$16)+1, 1) * INDEX($T$16:$AF$28, COLUMN()-COLUMN($F$16)+1, 1)</f>
        <v>-8.2057167109599247E-2</v>
      </c>
      <c r="N16" s="158" cm="1">
        <f t="array" ref="N16">$T$31 * INDEX($T$2:$AE$13, ROW()-ROW($F$16)+1, 1) * INDEX($T$16:$AF$28, COLUMN()-COLUMN($F$16)+1, 1)</f>
        <v>-0.38258178621626981</v>
      </c>
      <c r="O16" s="158" cm="1">
        <f t="array" ref="O16">$T$31 * INDEX($T$2:$AE$13, ROW()-ROW($F$16)+1, 1) * INDEX($T$16:$AF$28, COLUMN()-COLUMN($F$16)+1, 1)</f>
        <v>-0.8002268199101058</v>
      </c>
      <c r="P16" s="158" cm="1">
        <f t="array" ref="P16">$T$31 * INDEX($T$2:$AE$13, ROW()-ROW($F$16)+1, 1) * INDEX($T$16:$AF$28, COLUMN()-COLUMN($F$16)+1, 1)</f>
        <v>-1.1088078639892589</v>
      </c>
      <c r="Q16" s="158" cm="1">
        <f t="array" ref="Q16">$T$31 * INDEX($T$2:$AE$13, ROW()-ROW($F$16)+1, 1) * INDEX($T$16:$AF$28, COLUMN()-COLUMN($F$16)+1, 1)</f>
        <v>-1.1026766980338665</v>
      </c>
      <c r="R16" s="158" cm="1">
        <f t="array" ref="R16">$T$31 * INDEX($T$2:$AE$13, ROW()-ROW($F$16)+1, 1) * INDEX($T$16:$AF$28, COLUMN()-COLUMN($F$16)+1, 1)</f>
        <v>-0.94808771277999693</v>
      </c>
      <c r="T16" s="170" cm="1">
        <f t="array" ref="T16:AF28">[2]!SVD_V(F2:R13)</f>
        <v>0.50811845631880992</v>
      </c>
      <c r="U16" s="170">
        <v>0.43604781533084047</v>
      </c>
      <c r="V16" s="170">
        <v>0.4325267089837066</v>
      </c>
      <c r="W16" s="170">
        <v>0.33277498827320851</v>
      </c>
      <c r="X16" s="170">
        <v>0.37195662936300566</v>
      </c>
      <c r="Y16" s="170">
        <v>0.25387177629309754</v>
      </c>
      <c r="Z16" s="170">
        <v>1.5690199037329045E-2</v>
      </c>
      <c r="AA16" s="170">
        <v>5.0655154101101774E-2</v>
      </c>
      <c r="AB16" s="170">
        <v>8.0430275438767795E-2</v>
      </c>
      <c r="AC16" s="170">
        <v>4.1891692917473522E-2</v>
      </c>
      <c r="AD16" s="170">
        <v>8.9312562757629887E-2</v>
      </c>
      <c r="AE16" s="170">
        <v>0.17900080729786394</v>
      </c>
      <c r="AF16" s="170">
        <v>1.6384011939252208E-3</v>
      </c>
      <c r="AJ16" s="291"/>
      <c r="AK16" s="21"/>
    </row>
    <row r="17" spans="1:37" x14ac:dyDescent="0.3">
      <c r="A17" vm="16">
        <v>212.48</v>
      </c>
      <c r="B17" s="293">
        <f t="shared" si="0"/>
        <v>211.29886697295095</v>
      </c>
      <c r="C17" s="21">
        <f t="shared" si="1"/>
        <v>0.59822849753363672</v>
      </c>
      <c r="D17" s="292" cm="1">
        <f t="array" ref="D17">AVERAGE(IF(((ROW($F$16:$R$27)-ROW($F$16)+1)+(COLUMN($F$16:$R$27)-COLUMN($F$16)+1)) = ROW()-ROW($D$2)+2, $F$16:$R$27))</f>
        <v>0.22213405380300993</v>
      </c>
      <c r="F17" s="158" cm="1">
        <f t="array" ref="F17">$T$31 * INDEX($T$2:$AE$13, ROW()-ROW($F$16)+1, 1) * INDEX($T$16:$AF$28, COLUMN()-COLUMN($F$16)+1, 1)</f>
        <v>-0.87488205320404488</v>
      </c>
      <c r="G17" s="158" cm="1">
        <f t="array" ref="G17">$T$31 * INDEX($T$2:$AE$13, ROW()-ROW($F$16)+1, 1) * INDEX($T$16:$AF$28, COLUMN()-COLUMN($F$16)+1, 1)</f>
        <v>-0.41708436910994434</v>
      </c>
      <c r="H17" s="158" cm="1">
        <f t="array" ref="H17">$T$31 * INDEX($T$2:$AE$13, ROW()-ROW($F$16)+1, 1) * INDEX($T$16:$AF$28, COLUMN()-COLUMN($F$16)+1, 1)</f>
        <v>1.6680246958746352E-2</v>
      </c>
      <c r="I17" s="158" cm="1">
        <f t="array" ref="I17">$T$31 * INDEX($T$2:$AE$13, ROW()-ROW($F$16)+1, 1) * INDEX($T$16:$AF$28, COLUMN()-COLUMN($F$16)+1, 1)</f>
        <v>0.30990126866190981</v>
      </c>
      <c r="J17" s="158" cm="1">
        <f t="array" ref="J17">$T$31 * INDEX($T$2:$AE$13, ROW()-ROW($F$16)+1, 1) * INDEX($T$16:$AF$28, COLUMN()-COLUMN($F$16)+1, 1)</f>
        <v>0.24414698157357931</v>
      </c>
      <c r="K17" s="158" cm="1">
        <f t="array" ref="K17">$T$31 * INDEX($T$2:$AE$13, ROW()-ROW($F$16)+1, 1) * INDEX($T$16:$AF$28, COLUMN()-COLUMN($F$16)+1, 1)</f>
        <v>4.6647000300871704E-2</v>
      </c>
      <c r="L17" s="158" cm="1">
        <f t="array" ref="L17">$T$31 * INDEX($T$2:$AE$13, ROW()-ROW($F$16)+1, 1) * INDEX($T$16:$AF$28, COLUMN()-COLUMN($F$16)+1, 1)</f>
        <v>2.1608519238526858E-2</v>
      </c>
      <c r="M17" s="158" cm="1">
        <f t="array" ref="M17">$T$31 * INDEX($T$2:$AE$13, ROW()-ROW($F$16)+1, 1) * INDEX($T$16:$AF$28, COLUMN()-COLUMN($F$16)+1, 1)</f>
        <v>-5.5115284935293822E-2</v>
      </c>
      <c r="N17" s="158" cm="1">
        <f t="array" ref="N17">$T$31 * INDEX($T$2:$AE$13, ROW()-ROW($F$16)+1, 1) * INDEX($T$16:$AF$28, COLUMN()-COLUMN($F$16)+1, 1)</f>
        <v>-0.25696846358587822</v>
      </c>
      <c r="O17" s="158" cm="1">
        <f t="array" ref="O17">$T$31 * INDEX($T$2:$AE$13, ROW()-ROW($F$16)+1, 1) * INDEX($T$16:$AF$28, COLUMN()-COLUMN($F$16)+1, 1)</f>
        <v>-0.53748783617281448</v>
      </c>
      <c r="P17" s="158" cm="1">
        <f t="array" ref="P17">$T$31 * INDEX($T$2:$AE$13, ROW()-ROW($F$16)+1, 1) * INDEX($T$16:$AF$28, COLUMN()-COLUMN($F$16)+1, 1)</f>
        <v>-0.74475226863045663</v>
      </c>
      <c r="Q17" s="158" cm="1">
        <f t="array" ref="Q17">$T$31 * INDEX($T$2:$AE$13, ROW()-ROW($F$16)+1, 1) * INDEX($T$16:$AF$28, COLUMN()-COLUMN($F$16)+1, 1)</f>
        <v>-0.74063415231569663</v>
      </c>
      <c r="R17" s="158" cm="1">
        <f t="array" ref="R17">$T$31 * INDEX($T$2:$AE$13, ROW()-ROW($F$16)+1, 1) * INDEX($T$16:$AF$28, COLUMN()-COLUMN($F$16)+1, 1)</f>
        <v>-0.63680146749067734</v>
      </c>
      <c r="T17" s="170">
        <v>0.24223638490550059</v>
      </c>
      <c r="U17" s="170">
        <v>0.30960547977482888</v>
      </c>
      <c r="V17" s="170">
        <v>0.26718053257618091</v>
      </c>
      <c r="W17" s="170">
        <v>-0.32027275433939706</v>
      </c>
      <c r="X17" s="170">
        <v>-0.41237660504137769</v>
      </c>
      <c r="Y17" s="170">
        <v>-0.21474734722912639</v>
      </c>
      <c r="Z17" s="170">
        <v>-3.4977707772385735E-2</v>
      </c>
      <c r="AA17" s="170">
        <v>0.28307065869805198</v>
      </c>
      <c r="AB17" s="170">
        <v>-0.32277777554542281</v>
      </c>
      <c r="AC17" s="170">
        <v>0.31204706933015769</v>
      </c>
      <c r="AD17" s="170">
        <v>0.11976465484826782</v>
      </c>
      <c r="AE17" s="170">
        <v>-0.39491005505221866</v>
      </c>
      <c r="AF17" s="170">
        <v>-4.6110640653231935E-2</v>
      </c>
      <c r="AJ17" s="291"/>
      <c r="AK17" s="21"/>
    </row>
    <row r="18" spans="1:37" x14ac:dyDescent="0.3">
      <c r="A18" vm="17">
        <v>214.4</v>
      </c>
      <c r="B18" s="293">
        <f t="shared" si="0"/>
        <v>211.60645264632674</v>
      </c>
      <c r="C18" s="21">
        <f t="shared" si="1"/>
        <v>1.2095917524981672</v>
      </c>
      <c r="D18" s="292" cm="1">
        <f t="array" ref="D18">AVERAGE(IF(((ROW($F$16:$R$27)-ROW($F$16)+1)+(COLUMN($F$16:$R$27)-COLUMN($F$16)+1)) = ROW()-ROW($D$2)+2, $F$16:$R$27))</f>
        <v>0.3200749800819026</v>
      </c>
      <c r="F18" s="158" cm="1">
        <f t="array" ref="F18">$T$31 * INDEX($T$2:$AE$13, ROW()-ROW($F$16)+1, 1) * INDEX($T$16:$AF$28, COLUMN()-COLUMN($F$16)+1, 1)</f>
        <v>-0.29167538143612215</v>
      </c>
      <c r="G18" s="158" cm="1">
        <f t="array" ref="G18">$T$31 * INDEX($T$2:$AE$13, ROW()-ROW($F$16)+1, 1) * INDEX($T$16:$AF$28, COLUMN()-COLUMN($F$16)+1, 1)</f>
        <v>-0.13905102065548341</v>
      </c>
      <c r="H18" s="158" cm="1">
        <f t="array" ref="H18">$T$31 * INDEX($T$2:$AE$13, ROW()-ROW($F$16)+1, 1) * INDEX($T$16:$AF$28, COLUMN()-COLUMN($F$16)+1, 1)</f>
        <v>5.5609980526213467E-3</v>
      </c>
      <c r="I18" s="158" cm="1">
        <f t="array" ref="I18">$T$31 * INDEX($T$2:$AE$13, ROW()-ROW($F$16)+1, 1) * INDEX($T$16:$AF$28, COLUMN()-COLUMN($F$16)+1, 1)</f>
        <v>0.10331743623436669</v>
      </c>
      <c r="J18" s="158" cm="1">
        <f t="array" ref="J18">$T$31 * INDEX($T$2:$AE$13, ROW()-ROW($F$16)+1, 1) * INDEX($T$16:$AF$28, COLUMN()-COLUMN($F$16)+1, 1)</f>
        <v>8.1395730677245065E-2</v>
      </c>
      <c r="K18" s="158" cm="1">
        <f t="array" ref="K18">$T$31 * INDEX($T$2:$AE$13, ROW()-ROW($F$16)+1, 1) * INDEX($T$16:$AF$28, COLUMN()-COLUMN($F$16)+1, 1)</f>
        <v>1.5551560985597726E-2</v>
      </c>
      <c r="L18" s="158" cm="1">
        <f t="array" ref="L18">$T$31 * INDEX($T$2:$AE$13, ROW()-ROW($F$16)+1, 1) * INDEX($T$16:$AF$28, COLUMN()-COLUMN($F$16)+1, 1)</f>
        <v>7.2040260376642559E-3</v>
      </c>
      <c r="M18" s="158" cm="1">
        <f t="array" ref="M18">$T$31 * INDEX($T$2:$AE$13, ROW()-ROW($F$16)+1, 1) * INDEX($T$16:$AF$28, COLUMN()-COLUMN($F$16)+1, 1)</f>
        <v>-1.8374787432875937E-2</v>
      </c>
      <c r="N18" s="158" cm="1">
        <f t="array" ref="N18">$T$31 * INDEX($T$2:$AE$13, ROW()-ROW($F$16)+1, 1) * INDEX($T$16:$AF$28, COLUMN()-COLUMN($F$16)+1, 1)</f>
        <v>-8.5670261904417774E-2</v>
      </c>
      <c r="O18" s="158" cm="1">
        <f t="array" ref="O18">$T$31 * INDEX($T$2:$AE$13, ROW()-ROW($F$16)+1, 1) * INDEX($T$16:$AF$28, COLUMN()-COLUMN($F$16)+1, 1)</f>
        <v>-0.17919211973641702</v>
      </c>
      <c r="P18" s="158" cm="1">
        <f t="array" ref="P18">$T$31 * INDEX($T$2:$AE$13, ROW()-ROW($F$16)+1, 1) * INDEX($T$16:$AF$28, COLUMN()-COLUMN($F$16)+1, 1)</f>
        <v>-0.2482916425507509</v>
      </c>
      <c r="Q18" s="158" cm="1">
        <f t="array" ref="Q18">$T$31 * INDEX($T$2:$AE$13, ROW()-ROW($F$16)+1, 1) * INDEX($T$16:$AF$28, COLUMN()-COLUMN($F$16)+1, 1)</f>
        <v>-0.2469187110310026</v>
      </c>
      <c r="R18" s="158" cm="1">
        <f t="array" ref="R18">$T$31 * INDEX($T$2:$AE$13, ROW()-ROW($F$16)+1, 1) * INDEX($T$16:$AF$28, COLUMN()-COLUMN($F$16)+1, 1)</f>
        <v>-0.21230211575286079</v>
      </c>
      <c r="T18" s="170">
        <v>-9.6876388133178542E-3</v>
      </c>
      <c r="U18" s="170">
        <v>0.13894903247837306</v>
      </c>
      <c r="V18" s="170">
        <v>-3.8790040364788538E-2</v>
      </c>
      <c r="W18" s="170">
        <v>-0.64498386137118324</v>
      </c>
      <c r="X18" s="170">
        <v>8.134869740474987E-2</v>
      </c>
      <c r="Y18" s="170">
        <v>0.22486679329601011</v>
      </c>
      <c r="Z18" s="170">
        <v>0.25749195812343301</v>
      </c>
      <c r="AA18" s="170">
        <v>0.21441061181238366</v>
      </c>
      <c r="AB18" s="170">
        <v>0.4920488163797424</v>
      </c>
      <c r="AC18" s="170">
        <v>9.9424359739932328E-2</v>
      </c>
      <c r="AD18" s="170">
        <v>3.6926817156488047E-3</v>
      </c>
      <c r="AE18" s="170">
        <v>0.16129590768258265</v>
      </c>
      <c r="AF18" s="170">
        <v>0.34000958276240706</v>
      </c>
      <c r="AJ18" s="291"/>
      <c r="AK18" s="21"/>
    </row>
    <row r="19" spans="1:37" x14ac:dyDescent="0.3">
      <c r="A19" vm="18">
        <v>214.15</v>
      </c>
      <c r="B19" s="293">
        <f t="shared" si="0"/>
        <v>211.92610063736782</v>
      </c>
      <c r="C19" s="21">
        <f t="shared" si="1"/>
        <v>1.1299871620079944</v>
      </c>
      <c r="D19" s="292" cm="1">
        <f t="array" ref="D19">AVERAGE(IF(((ROW($F$16:$R$27)-ROW($F$16)+1)+(COLUMN($F$16:$R$27)-COLUMN($F$16)+1)) = ROW()-ROW($D$2)+2, $F$16:$R$27))</f>
        <v>0.42185676979323672</v>
      </c>
      <c r="F19" s="158" cm="1">
        <f t="array" ref="F19">$T$31 * INDEX($T$2:$AE$13, ROW()-ROW($F$16)+1, 1) * INDEX($T$16:$AF$28, COLUMN()-COLUMN($F$16)+1, 1)</f>
        <v>0.30701648539868176</v>
      </c>
      <c r="G19" s="158" cm="1">
        <f t="array" ref="G19">$T$31 * INDEX($T$2:$AE$13, ROW()-ROW($F$16)+1, 1) * INDEX($T$16:$AF$28, COLUMN()-COLUMN($F$16)+1, 1)</f>
        <v>0.14636461755033472</v>
      </c>
      <c r="H19" s="158" cm="1">
        <f t="array" ref="H19">$T$31 * INDEX($T$2:$AE$13, ROW()-ROW($F$16)+1, 1) * INDEX($T$16:$AF$28, COLUMN()-COLUMN($F$16)+1, 1)</f>
        <v>-5.8534870821747003E-3</v>
      </c>
      <c r="I19" s="158" cm="1">
        <f t="array" ref="I19">$T$31 * INDEX($T$2:$AE$13, ROW()-ROW($F$16)+1, 1) * INDEX($T$16:$AF$28, COLUMN()-COLUMN($F$16)+1, 1)</f>
        <v>-0.10875157168526577</v>
      </c>
      <c r="J19" s="158" cm="1">
        <f t="array" ref="J19">$T$31 * INDEX($T$2:$AE$13, ROW()-ROW($F$16)+1, 1) * INDEX($T$16:$AF$28, COLUMN()-COLUMN($F$16)+1, 1)</f>
        <v>-8.5676861159632356E-2</v>
      </c>
      <c r="K19" s="158" cm="1">
        <f t="array" ref="K19">$T$31 * INDEX($T$2:$AE$13, ROW()-ROW($F$16)+1, 1) * INDEX($T$16:$AF$28, COLUMN()-COLUMN($F$16)+1, 1)</f>
        <v>-1.6369518650332589E-2</v>
      </c>
      <c r="L19" s="158" cm="1">
        <f t="array" ref="L19">$T$31 * INDEX($T$2:$AE$13, ROW()-ROW($F$16)+1, 1) * INDEX($T$16:$AF$28, COLUMN()-COLUMN($F$16)+1, 1)</f>
        <v>-7.5829325872970631E-3</v>
      </c>
      <c r="M19" s="158" cm="1">
        <f t="array" ref="M19">$T$31 * INDEX($T$2:$AE$13, ROW()-ROW($F$16)+1, 1) * INDEX($T$16:$AF$28, COLUMN()-COLUMN($F$16)+1, 1)</f>
        <v>1.934123692514966E-2</v>
      </c>
      <c r="N19" s="158" cm="1">
        <f t="array" ref="N19">$T$31 * INDEX($T$2:$AE$13, ROW()-ROW($F$16)+1, 1) * INDEX($T$16:$AF$28, COLUMN()-COLUMN($F$16)+1, 1)</f>
        <v>9.0176217765019662E-2</v>
      </c>
      <c r="O19" s="158" cm="1">
        <f t="array" ref="O19">$T$31 * INDEX($T$2:$AE$13, ROW()-ROW($F$16)+1, 1) * INDEX($T$16:$AF$28, COLUMN()-COLUMN($F$16)+1, 1)</f>
        <v>0.18861699791644213</v>
      </c>
      <c r="P19" s="158" cm="1">
        <f t="array" ref="P19">$T$31 * INDEX($T$2:$AE$13, ROW()-ROW($F$16)+1, 1) * INDEX($T$16:$AF$28, COLUMN()-COLUMN($F$16)+1, 1)</f>
        <v>0.26135091372629904</v>
      </c>
      <c r="Q19" s="158" cm="1">
        <f t="array" ref="Q19">$T$31 * INDEX($T$2:$AE$13, ROW()-ROW($F$16)+1, 1) * INDEX($T$16:$AF$28, COLUMN()-COLUMN($F$16)+1, 1)</f>
        <v>0.25990577081498856</v>
      </c>
      <c r="R19" s="158" cm="1">
        <f t="array" ref="R19">$T$31 * INDEX($T$2:$AE$13, ROW()-ROW($F$16)+1, 1) * INDEX($T$16:$AF$28, COLUMN()-COLUMN($F$16)+1, 1)</f>
        <v>0.22346846381144483</v>
      </c>
      <c r="T19" s="170">
        <v>-0.17998603773736935</v>
      </c>
      <c r="U19" s="170">
        <v>-4.0228423712034694E-2</v>
      </c>
      <c r="V19" s="170">
        <v>-0.22106460866621991</v>
      </c>
      <c r="W19" s="170">
        <v>1.0131682315644548E-2</v>
      </c>
      <c r="X19" s="170">
        <v>0.16310215404971842</v>
      </c>
      <c r="Y19" s="170">
        <v>0.52709158478687979</v>
      </c>
      <c r="Z19" s="170">
        <v>0.35892281991744784</v>
      </c>
      <c r="AA19" s="170">
        <v>0.41577409261869158</v>
      </c>
      <c r="AB19" s="170">
        <v>-0.44336472245667646</v>
      </c>
      <c r="AC19" s="170">
        <v>4.4295977937288497E-2</v>
      </c>
      <c r="AD19" s="170">
        <v>0.17417813846643268</v>
      </c>
      <c r="AE19" s="170">
        <v>-6.791274914932712E-3</v>
      </c>
      <c r="AF19" s="170">
        <v>-0.28631170719977689</v>
      </c>
      <c r="AJ19" s="291"/>
      <c r="AK19" s="21"/>
    </row>
    <row r="20" spans="1:37" x14ac:dyDescent="0.3">
      <c r="A20" vm="19">
        <v>213.76</v>
      </c>
      <c r="B20" s="293">
        <f t="shared" si="0"/>
        <v>212.19769279751711</v>
      </c>
      <c r="C20" s="21">
        <f t="shared" si="1"/>
        <v>1.0058040008433207</v>
      </c>
      <c r="D20" s="292" cm="1">
        <f t="array" ref="D20">AVERAGE(IF(((ROW($F$16:$R$27)-ROW($F$16)+1)+(COLUMN($F$16:$R$27)-COLUMN($F$16)+1)) = ROW()-ROW($D$2)+2, $F$16:$R$27))</f>
        <v>0.50833670054933167</v>
      </c>
      <c r="F20" s="158" cm="1">
        <f t="array" ref="F20">$T$31 * INDEX($T$2:$AE$13, ROW()-ROW($F$16)+1, 1) * INDEX($T$16:$AF$28, COLUMN()-COLUMN($F$16)+1, 1)</f>
        <v>0.51304296458487086</v>
      </c>
      <c r="G20" s="158" cm="1">
        <f t="array" ref="G20">$T$31 * INDEX($T$2:$AE$13, ROW()-ROW($F$16)+1, 1) * INDEX($T$16:$AF$28, COLUMN()-COLUMN($F$16)+1, 1)</f>
        <v>0.24458405613250167</v>
      </c>
      <c r="H20" s="158" cm="1">
        <f t="array" ref="H20">$T$31 * INDEX($T$2:$AE$13, ROW()-ROW($F$16)+1, 1) * INDEX($T$16:$AF$28, COLUMN()-COLUMN($F$16)+1, 1)</f>
        <v>-9.7815280567049596E-3</v>
      </c>
      <c r="I20" s="158" cm="1">
        <f t="array" ref="I20">$T$31 * INDEX($T$2:$AE$13, ROW()-ROW($F$16)+1, 1) * INDEX($T$16:$AF$28, COLUMN()-COLUMN($F$16)+1, 1)</f>
        <v>-0.18173040013867744</v>
      </c>
      <c r="J20" s="158" cm="1">
        <f t="array" ref="J20">$T$31 * INDEX($T$2:$AE$13, ROW()-ROW($F$16)+1, 1) * INDEX($T$16:$AF$28, COLUMN()-COLUMN($F$16)+1, 1)</f>
        <v>-0.14317117463117471</v>
      </c>
      <c r="K20" s="158" cm="1">
        <f t="array" ref="K20">$T$31 * INDEX($T$2:$AE$13, ROW()-ROW($F$16)+1, 1) * INDEX($T$16:$AF$28, COLUMN()-COLUMN($F$16)+1, 1)</f>
        <v>-2.7354447648921025E-2</v>
      </c>
      <c r="L20" s="158" cm="1">
        <f t="array" ref="L20">$T$31 * INDEX($T$2:$AE$13, ROW()-ROW($F$16)+1, 1) * INDEX($T$16:$AF$28, COLUMN()-COLUMN($F$16)+1, 1)</f>
        <v>-1.2671535242748286E-2</v>
      </c>
      <c r="M20" s="158" cm="1">
        <f t="array" ref="M20">$T$31 * INDEX($T$2:$AE$13, ROW()-ROW($F$16)+1, 1) * INDEX($T$16:$AF$28, COLUMN()-COLUMN($F$16)+1, 1)</f>
        <v>3.2320367155306375E-2</v>
      </c>
      <c r="N20" s="158" cm="1">
        <f t="array" ref="N20">$T$31 * INDEX($T$2:$AE$13, ROW()-ROW($F$16)+1, 1) * INDEX($T$16:$AF$28, COLUMN()-COLUMN($F$16)+1, 1)</f>
        <v>0.1506898694288005</v>
      </c>
      <c r="O20" s="158" cm="1">
        <f t="array" ref="O20">$T$31 * INDEX($T$2:$AE$13, ROW()-ROW($F$16)+1, 1) * INDEX($T$16:$AF$28, COLUMN()-COLUMN($F$16)+1, 1)</f>
        <v>0.31519031838466022</v>
      </c>
      <c r="P20" s="158" cm="1">
        <f t="array" ref="P20">$T$31 * INDEX($T$2:$AE$13, ROW()-ROW($F$16)+1, 1) * INDEX($T$16:$AF$28, COLUMN()-COLUMN($F$16)+1, 1)</f>
        <v>0.43673305490741904</v>
      </c>
      <c r="Q20" s="158" cm="1">
        <f t="array" ref="Q20">$T$31 * INDEX($T$2:$AE$13, ROW()-ROW($F$16)+1, 1) * INDEX($T$16:$AF$28, COLUMN()-COLUMN($F$16)+1, 1)</f>
        <v>0.43431813441054484</v>
      </c>
      <c r="R20" s="158" cm="1">
        <f t="array" ref="R20">$T$31 * INDEX($T$2:$AE$13, ROW()-ROW($F$16)+1, 1) * INDEX($T$16:$AF$28, COLUMN()-COLUMN($F$16)+1, 1)</f>
        <v>0.3734292085852367</v>
      </c>
      <c r="T20" s="170">
        <v>-0.14179692786900855</v>
      </c>
      <c r="U20" s="170">
        <v>-7.7759215928740341E-2</v>
      </c>
      <c r="V20" s="170">
        <v>9.810992774778822E-3</v>
      </c>
      <c r="W20" s="170">
        <v>0.41703988391219149</v>
      </c>
      <c r="X20" s="170">
        <v>-0.39048278393388675</v>
      </c>
      <c r="Y20" s="170">
        <v>0.31878337070682095</v>
      </c>
      <c r="Z20" s="170">
        <v>0.18360310047302866</v>
      </c>
      <c r="AA20" s="170">
        <v>-0.20239336691410256</v>
      </c>
      <c r="AB20" s="170">
        <v>0.23272941958106519</v>
      </c>
      <c r="AC20" s="170">
        <v>0.51583745363281996</v>
      </c>
      <c r="AD20" s="170">
        <v>0.23244704346661127</v>
      </c>
      <c r="AE20" s="170">
        <v>-0.15037886303270781</v>
      </c>
      <c r="AF20" s="170">
        <v>0.27232169946212414</v>
      </c>
      <c r="AJ20" s="291"/>
      <c r="AK20" s="21"/>
    </row>
    <row r="21" spans="1:37" x14ac:dyDescent="0.3">
      <c r="A21" vm="20">
        <v>213.88</v>
      </c>
      <c r="B21" s="293">
        <f t="shared" si="0"/>
        <v>212.18861285780702</v>
      </c>
      <c r="C21" s="21">
        <f t="shared" si="1"/>
        <v>1.0440142042786049</v>
      </c>
      <c r="D21" s="292" cm="1">
        <f t="array" ref="D21">AVERAGE(IF(((ROW($F$16:$R$27)-ROW($F$16)+1)+(COLUMN($F$16:$R$27)-COLUMN($F$16)+1)) = ROW()-ROW($D$2)+2, $F$16:$R$27))</f>
        <v>0.50544548102013864</v>
      </c>
      <c r="F21" s="158" cm="1">
        <f t="array" ref="F21">$T$31 * INDEX($T$2:$AE$13, ROW()-ROW($F$16)+1, 1) * INDEX($T$16:$AF$28, COLUMN()-COLUMN($F$16)+1, 1)</f>
        <v>0.4897842540125748</v>
      </c>
      <c r="G21" s="158" cm="1">
        <f t="array" ref="G21">$T$31 * INDEX($T$2:$AE$13, ROW()-ROW($F$16)+1, 1) * INDEX($T$16:$AF$28, COLUMN()-COLUMN($F$16)+1, 1)</f>
        <v>0.23349588191538301</v>
      </c>
      <c r="H21" s="158" cm="1">
        <f t="array" ref="H21">$T$31 * INDEX($T$2:$AE$13, ROW()-ROW($F$16)+1, 1) * INDEX($T$16:$AF$28, COLUMN()-COLUMN($F$16)+1, 1)</f>
        <v>-9.3380842406304496E-3</v>
      </c>
      <c r="I21" s="158" cm="1">
        <f t="array" ref="I21">$T$31 * INDEX($T$2:$AE$13, ROW()-ROW($F$16)+1, 1) * INDEX($T$16:$AF$28, COLUMN()-COLUMN($F$16)+1, 1)</f>
        <v>-0.17349168511715252</v>
      </c>
      <c r="J21" s="158" cm="1">
        <f t="array" ref="J21">$T$31 * INDEX($T$2:$AE$13, ROW()-ROW($F$16)+1, 1) * INDEX($T$16:$AF$28, COLUMN()-COLUMN($F$16)+1, 1)</f>
        <v>-0.13668053516643394</v>
      </c>
      <c r="K21" s="158" cm="1">
        <f t="array" ref="K21">$T$31 * INDEX($T$2:$AE$13, ROW()-ROW($F$16)+1, 1) * INDEX($T$16:$AF$28, COLUMN()-COLUMN($F$16)+1, 1)</f>
        <v>-2.6114338682128965E-2</v>
      </c>
      <c r="L21" s="158" cm="1">
        <f t="array" ref="L21">$T$31 * INDEX($T$2:$AE$13, ROW()-ROW($F$16)+1, 1) * INDEX($T$16:$AF$28, COLUMN()-COLUMN($F$16)+1, 1)</f>
        <v>-1.2097073470416591E-2</v>
      </c>
      <c r="M21" s="158" cm="1">
        <f t="array" ref="M21">$T$31 * INDEX($T$2:$AE$13, ROW()-ROW($F$16)+1, 1) * INDEX($T$16:$AF$28, COLUMN()-COLUMN($F$16)+1, 1)</f>
        <v>3.0855129120390765E-2</v>
      </c>
      <c r="N21" s="158" cm="1">
        <f t="array" ref="N21">$T$31 * INDEX($T$2:$AE$13, ROW()-ROW($F$16)+1, 1) * INDEX($T$16:$AF$28, COLUMN()-COLUMN($F$16)+1, 1)</f>
        <v>0.1438583712870074</v>
      </c>
      <c r="O21" s="158" cm="1">
        <f t="array" ref="O21">$T$31 * INDEX($T$2:$AE$13, ROW()-ROW($F$16)+1, 1) * INDEX($T$16:$AF$28, COLUMN()-COLUMN($F$16)+1, 1)</f>
        <v>0.30090122196087338</v>
      </c>
      <c r="P21" s="158" cm="1">
        <f t="array" ref="P21">$T$31 * INDEX($T$2:$AE$13, ROW()-ROW($F$16)+1, 1) * INDEX($T$16:$AF$28, COLUMN()-COLUMN($F$16)+1, 1)</f>
        <v>0.4169338403725007</v>
      </c>
      <c r="Q21" s="158" cm="1">
        <f t="array" ref="Q21">$T$31 * INDEX($T$2:$AE$13, ROW()-ROW($F$16)+1, 1) * INDEX($T$16:$AF$28, COLUMN()-COLUMN($F$16)+1, 1)</f>
        <v>0.41462839986223421</v>
      </c>
      <c r="R21" s="158" cm="1">
        <f t="array" ref="R21">$T$31 * INDEX($T$2:$AE$13, ROW()-ROW($F$16)+1, 1) * INDEX($T$16:$AF$28, COLUMN()-COLUMN($F$16)+1, 1)</f>
        <v>0.35649986254351973</v>
      </c>
      <c r="T21" s="170">
        <v>-2.7091882497735992E-2</v>
      </c>
      <c r="U21" s="170">
        <v>-0.10120115710160159</v>
      </c>
      <c r="V21" s="170">
        <v>0.38584369722385348</v>
      </c>
      <c r="W21" s="170">
        <v>5.2647031950267265E-2</v>
      </c>
      <c r="X21" s="170">
        <v>-0.4212802338083097</v>
      </c>
      <c r="Y21" s="170">
        <v>0.397684662809345</v>
      </c>
      <c r="Z21" s="170">
        <v>4.1909363614886175E-2</v>
      </c>
      <c r="AA21" s="170">
        <v>0.13975641615227943</v>
      </c>
      <c r="AB21" s="170">
        <v>0.15004398363327576</v>
      </c>
      <c r="AC21" s="170">
        <v>-0.45458009510511893</v>
      </c>
      <c r="AD21" s="170">
        <v>-0.4621800341467458</v>
      </c>
      <c r="AE21" s="170">
        <v>-0.16815713304278571</v>
      </c>
      <c r="AF21" s="170">
        <v>-9.7033214676193344E-2</v>
      </c>
      <c r="AJ21" s="291"/>
      <c r="AK21" s="21"/>
    </row>
    <row r="22" spans="1:37" x14ac:dyDescent="0.3">
      <c r="A22" s="294">
        <v>214.05</v>
      </c>
      <c r="B22" s="293">
        <f t="shared" si="0"/>
        <v>211.82961166118781</v>
      </c>
      <c r="C22" s="21">
        <f t="shared" si="1"/>
        <v>1.0981453258119274</v>
      </c>
      <c r="D22" s="292" cm="1">
        <f t="array" ref="D22">AVERAGE(IF(((ROW($F$16:$R$27)-ROW($F$16)+1)+(COLUMN($F$16:$R$27)-COLUMN($F$16)+1)) = ROW()-ROW($D$2)+2, $F$16:$R$27))</f>
        <v>0.39113290805072887</v>
      </c>
      <c r="F22" s="158" cm="1">
        <f t="array" ref="F22">$T$31 * INDEX($T$2:$AE$13, ROW()-ROW($F$16)+1, 1) * INDEX($T$16:$AF$28, COLUMN()-COLUMN($F$16)+1, 1)</f>
        <v>0.81398151265011254</v>
      </c>
      <c r="G22" s="158" cm="1">
        <f t="array" ref="G22">$T$31 * INDEX($T$2:$AE$13, ROW()-ROW($F$16)+1, 1) * INDEX($T$16:$AF$28, COLUMN()-COLUMN($F$16)+1, 1)</f>
        <v>0.38805112578032341</v>
      </c>
      <c r="H22" s="158" cm="1">
        <f t="array" ref="H22">$T$31 * INDEX($T$2:$AE$13, ROW()-ROW($F$16)+1, 1) * INDEX($T$16:$AF$28, COLUMN()-COLUMN($F$16)+1, 1)</f>
        <v>-1.551913495211588E-2</v>
      </c>
      <c r="I22" s="158" cm="1">
        <f t="array" ref="I22">$T$31 * INDEX($T$2:$AE$13, ROW()-ROW($F$16)+1, 1) * INDEX($T$16:$AF$28, COLUMN()-COLUMN($F$16)+1, 1)</f>
        <v>-0.28832904105620993</v>
      </c>
      <c r="J22" s="158" cm="1">
        <f t="array" ref="J22">$T$31 * INDEX($T$2:$AE$13, ROW()-ROW($F$16)+1, 1) * INDEX($T$16:$AF$28, COLUMN()-COLUMN($F$16)+1, 1)</f>
        <v>-0.22715190995450912</v>
      </c>
      <c r="K22" s="158" cm="1">
        <f t="array" ref="K22">$T$31 * INDEX($T$2:$AE$13, ROW()-ROW($F$16)+1, 1) * INDEX($T$16:$AF$28, COLUMN()-COLUMN($F$16)+1, 1)</f>
        <v>-4.3399902565652793E-2</v>
      </c>
      <c r="L22" s="158" cm="1">
        <f t="array" ref="L22">$T$31 * INDEX($T$2:$AE$13, ROW()-ROW($F$16)+1, 1) * INDEX($T$16:$AF$28, COLUMN()-COLUMN($F$16)+1, 1)</f>
        <v>-2.0104350193823166E-2</v>
      </c>
      <c r="M22" s="158" cm="1">
        <f t="array" ref="M22">$T$31 * INDEX($T$2:$AE$13, ROW()-ROW($F$16)+1, 1) * INDEX($T$16:$AF$28, COLUMN()-COLUMN($F$16)+1, 1)</f>
        <v>5.1278709898635068E-2</v>
      </c>
      <c r="N22" s="158" cm="1">
        <f t="array" ref="N22">$T$31 * INDEX($T$2:$AE$13, ROW()-ROW($F$16)+1, 1) * INDEX($T$16:$AF$28, COLUMN()-COLUMN($F$16)+1, 1)</f>
        <v>0.23908088859176232</v>
      </c>
      <c r="O22" s="158" cm="1">
        <f t="array" ref="O22">$T$31 * INDEX($T$2:$AE$13, ROW()-ROW($F$16)+1, 1) * INDEX($T$16:$AF$28, COLUMN()-COLUMN($F$16)+1, 1)</f>
        <v>0.50007330738666556</v>
      </c>
      <c r="P22" s="158" cm="1">
        <f t="array" ref="P22">$T$31 * INDEX($T$2:$AE$13, ROW()-ROW($F$16)+1, 1) * INDEX($T$16:$AF$28, COLUMN()-COLUMN($F$16)+1, 1)</f>
        <v>0.69291006250420517</v>
      </c>
      <c r="Q22" s="158" cm="1">
        <f t="array" ref="Q22">$T$31 * INDEX($T$2:$AE$13, ROW()-ROW($F$16)+1, 1) * INDEX($T$16:$AF$28, COLUMN()-COLUMN($F$16)+1, 1)</f>
        <v>0.68907860827002432</v>
      </c>
      <c r="R22" s="158" cm="1">
        <f t="array" ref="R22">$T$31 * INDEX($T$2:$AE$13, ROW()-ROW($F$16)+1, 1) * INDEX($T$16:$AF$28, COLUMN()-COLUMN($F$16)+1, 1)</f>
        <v>0.592473716734228</v>
      </c>
      <c r="T22" s="170">
        <v>-1.2549905897149348E-2</v>
      </c>
      <c r="U22" s="170">
        <v>-0.26495933187004422</v>
      </c>
      <c r="V22" s="170">
        <v>0.36365074567661615</v>
      </c>
      <c r="W22" s="170">
        <v>-0.29245763070744935</v>
      </c>
      <c r="X22" s="170">
        <v>-0.16598222250278077</v>
      </c>
      <c r="Y22" s="170">
        <v>0.25058821098738754</v>
      </c>
      <c r="Z22" s="170">
        <v>-0.23479105394972571</v>
      </c>
      <c r="AA22" s="170">
        <v>-0.2882953217960727</v>
      </c>
      <c r="AB22" s="170">
        <v>-0.34762388540807687</v>
      </c>
      <c r="AC22" s="170">
        <v>-9.9897842397068462E-2</v>
      </c>
      <c r="AD22" s="170">
        <v>0.38625346087917334</v>
      </c>
      <c r="AE22" s="170">
        <v>0.42316227608462054</v>
      </c>
      <c r="AF22" s="170">
        <v>0.15556396724680666</v>
      </c>
      <c r="AJ22" s="291"/>
      <c r="AK22" s="21"/>
    </row>
    <row r="23" spans="1:37" x14ac:dyDescent="0.3">
      <c r="A23" s="294">
        <v>211.27</v>
      </c>
      <c r="B23" s="293">
        <f t="shared" si="0"/>
        <v>211.20679252359827</v>
      </c>
      <c r="C23" s="21">
        <f t="shared" si="1"/>
        <v>0.21294227956120801</v>
      </c>
      <c r="D23" s="292" cm="1">
        <f t="array" ref="D23">AVERAGE(IF(((ROW($F$16:$R$27)-ROW($F$16)+1)+(COLUMN($F$16:$R$27)-COLUMN($F$16)+1)) = ROW()-ROW($D$2)+2, $F$16:$R$27))</f>
        <v>0.19281585846169647</v>
      </c>
      <c r="F23" s="158" cm="1">
        <f t="array" ref="F23">$T$31 * INDEX($T$2:$AE$13, ROW()-ROW($F$16)+1, 1) * INDEX($T$16:$AF$28, COLUMN()-COLUMN($F$16)+1, 1)</f>
        <v>1.1139336411526692</v>
      </c>
      <c r="G23" s="158" cm="1">
        <f t="array" ref="G23">$T$31 * INDEX($T$2:$AE$13, ROW()-ROW($F$16)+1, 1) * INDEX($T$16:$AF$28, COLUMN()-COLUMN($F$16)+1, 1)</f>
        <v>0.53104793754655588</v>
      </c>
      <c r="H23" s="158" cm="1">
        <f t="array" ref="H23">$T$31 * INDEX($T$2:$AE$13, ROW()-ROW($F$16)+1, 1) * INDEX($T$16:$AF$28, COLUMN()-COLUMN($F$16)+1, 1)</f>
        <v>-2.1237935058828518E-2</v>
      </c>
      <c r="I23" s="158" cm="1">
        <f t="array" ref="I23">$T$31 * INDEX($T$2:$AE$13, ROW()-ROW($F$16)+1, 1) * INDEX($T$16:$AF$28, COLUMN()-COLUMN($F$16)+1, 1)</f>
        <v>-0.39457827181863692</v>
      </c>
      <c r="J23" s="158" cm="1">
        <f t="array" ref="J23">$T$31 * INDEX($T$2:$AE$13, ROW()-ROW($F$16)+1, 1) * INDEX($T$16:$AF$28, COLUMN()-COLUMN($F$16)+1, 1)</f>
        <v>-0.31085737233343613</v>
      </c>
      <c r="K23" s="158" cm="1">
        <f t="array" ref="K23">$T$31 * INDEX($T$2:$AE$13, ROW()-ROW($F$16)+1, 1) * INDEX($T$16:$AF$28, COLUMN()-COLUMN($F$16)+1, 1)</f>
        <v>-5.9392763520182627E-2</v>
      </c>
      <c r="L23" s="158" cm="1">
        <f t="array" ref="L23">$T$31 * INDEX($T$2:$AE$13, ROW()-ROW($F$16)+1, 1) * INDEX($T$16:$AF$28, COLUMN()-COLUMN($F$16)+1, 1)</f>
        <v>-2.7512801785266338E-2</v>
      </c>
      <c r="M23" s="158" cm="1">
        <f t="array" ref="M23">$T$31 * INDEX($T$2:$AE$13, ROW()-ROW($F$16)+1, 1) * INDEX($T$16:$AF$28, COLUMN()-COLUMN($F$16)+1, 1)</f>
        <v>7.0174910785168285E-2</v>
      </c>
      <c r="N23" s="158" cm="1">
        <f t="array" ref="N23">$T$31 * INDEX($T$2:$AE$13, ROW()-ROW($F$16)+1, 1) * INDEX($T$16:$AF$28, COLUMN()-COLUMN($F$16)+1, 1)</f>
        <v>0.32718217873519984</v>
      </c>
      <c r="O23" s="158" cm="1">
        <f t="array" ref="O23">$T$31 * INDEX($T$2:$AE$13, ROW()-ROW($F$16)+1, 1) * INDEX($T$16:$AF$28, COLUMN()-COLUMN($F$16)+1, 1)</f>
        <v>0.68435028496762906</v>
      </c>
      <c r="P23" s="158" cm="1">
        <f t="array" ref="P23">$T$31 * INDEX($T$2:$AE$13, ROW()-ROW($F$16)+1, 1) * INDEX($T$16:$AF$28, COLUMN()-COLUMN($F$16)+1, 1)</f>
        <v>0.94824737039010942</v>
      </c>
      <c r="Q23" s="158" cm="1">
        <f t="array" ref="Q23">$T$31 * INDEX($T$2:$AE$13, ROW()-ROW($F$16)+1, 1) * INDEX($T$16:$AF$28, COLUMN()-COLUMN($F$16)+1, 1)</f>
        <v>0.94300402554792084</v>
      </c>
      <c r="R23" s="158" cm="1">
        <f t="array" ref="R23">$T$31 * INDEX($T$2:$AE$13, ROW()-ROW($F$16)+1, 1) * INDEX($T$16:$AF$28, COLUMN()-COLUMN($F$16)+1, 1)</f>
        <v>0.81080023847261806</v>
      </c>
      <c r="T23" s="170">
        <v>3.2010135992995792E-2</v>
      </c>
      <c r="U23" s="170">
        <v>-0.40846087939820053</v>
      </c>
      <c r="V23" s="170">
        <v>0.17178453315663256</v>
      </c>
      <c r="W23" s="170">
        <v>-0.16107408547407776</v>
      </c>
      <c r="X23" s="170">
        <v>0.27310175720756102</v>
      </c>
      <c r="Y23" s="170">
        <v>0.19326456257218452</v>
      </c>
      <c r="Z23" s="170">
        <v>-0.43600908616665224</v>
      </c>
      <c r="AA23" s="170">
        <v>6.2538272281000534E-2</v>
      </c>
      <c r="AB23" s="170">
        <v>0.19811683735013647</v>
      </c>
      <c r="AC23" s="170">
        <v>0.48692486099628712</v>
      </c>
      <c r="AD23" s="170">
        <v>-0.17268113066439497</v>
      </c>
      <c r="AE23" s="170">
        <v>-0.14591906042049829</v>
      </c>
      <c r="AF23" s="170">
        <v>-0.37851328657861016</v>
      </c>
      <c r="AJ23" s="291"/>
      <c r="AK23" s="21"/>
    </row>
    <row r="24" spans="1:37" x14ac:dyDescent="0.3">
      <c r="A24" s="294">
        <v>209.05</v>
      </c>
      <c r="B24" s="293">
        <f t="shared" si="0"/>
        <v>210.59538350968592</v>
      </c>
      <c r="C24" s="21">
        <f t="shared" si="1"/>
        <v>-0.49394648399152402</v>
      </c>
      <c r="D24" s="292" cm="1">
        <f t="array" ref="D24">AVERAGE(IF(((ROW($F$16:$R$27)-ROW($F$16)+1)+(COLUMN($F$16:$R$27)-COLUMN($F$16)+1)) = ROW()-ROW($D$2)+2, $F$16:$R$27))</f>
        <v>-1.8679982362733022E-3</v>
      </c>
      <c r="F24" s="158" cm="1">
        <f t="array" ref="F24">$T$31 * INDEX($T$2:$AE$13, ROW()-ROW($F$16)+1, 1) * INDEX($T$16:$AF$28, COLUMN()-COLUMN($F$16)+1, 1)</f>
        <v>1.164930623024983</v>
      </c>
      <c r="G24" s="158" cm="1">
        <f t="array" ref="G24">$T$31 * INDEX($T$2:$AE$13, ROW()-ROW($F$16)+1, 1) * INDEX($T$16:$AF$28, COLUMN()-COLUMN($F$16)+1, 1)</f>
        <v>0.55535983642804376</v>
      </c>
      <c r="H24" s="158" cm="1">
        <f t="array" ref="H24">$T$31 * INDEX($T$2:$AE$13, ROW()-ROW($F$16)+1, 1) * INDEX($T$16:$AF$28, COLUMN()-COLUMN($F$16)+1, 1)</f>
        <v>-2.2210228693914105E-2</v>
      </c>
      <c r="I24" s="158" cm="1">
        <f t="array" ref="I24">$T$31 * INDEX($T$2:$AE$13, ROW()-ROW($F$16)+1, 1) * INDEX($T$16:$AF$28, COLUMN()-COLUMN($F$16)+1, 1)</f>
        <v>-0.41264245466737631</v>
      </c>
      <c r="J24" s="158" cm="1">
        <f t="array" ref="J24">$T$31 * INDEX($T$2:$AE$13, ROW()-ROW($F$16)+1, 1) * INDEX($T$16:$AF$28, COLUMN()-COLUMN($F$16)+1, 1)</f>
        <v>-0.32508872974657543</v>
      </c>
      <c r="K24" s="158" cm="1">
        <f t="array" ref="K24">$T$31 * INDEX($T$2:$AE$13, ROW()-ROW($F$16)+1, 1) * INDEX($T$16:$AF$28, COLUMN()-COLUMN($F$16)+1, 1)</f>
        <v>-6.2111822872274007E-2</v>
      </c>
      <c r="L24" s="158" cm="1">
        <f t="array" ref="L24">$T$31 * INDEX($T$2:$AE$13, ROW()-ROW($F$16)+1, 1) * INDEX($T$16:$AF$28, COLUMN()-COLUMN($F$16)+1, 1)</f>
        <v>-2.8772365014228456E-2</v>
      </c>
      <c r="M24" s="158" cm="1">
        <f t="array" ref="M24">$T$31 * INDEX($T$2:$AE$13, ROW()-ROW($F$16)+1, 1) * INDEX($T$16:$AF$28, COLUMN()-COLUMN($F$16)+1, 1)</f>
        <v>7.3387587484203348E-2</v>
      </c>
      <c r="N24" s="158" cm="1">
        <f t="array" ref="N24">$T$31 * INDEX($T$2:$AE$13, ROW()-ROW($F$16)+1, 1) * INDEX($T$16:$AF$28, COLUMN()-COLUMN($F$16)+1, 1)</f>
        <v>0.34216090190280035</v>
      </c>
      <c r="O24" s="158" cm="1">
        <f t="array" ref="O24">$T$31 * INDEX($T$2:$AE$13, ROW()-ROW($F$16)+1, 1) * INDEX($T$16:$AF$28, COLUMN()-COLUMN($F$16)+1, 1)</f>
        <v>0.71568051666858878</v>
      </c>
      <c r="P24" s="158" cm="1">
        <f t="array" ref="P24">$T$31 * INDEX($T$2:$AE$13, ROW()-ROW($F$16)+1, 1) * INDEX($T$16:$AF$28, COLUMN()-COLUMN($F$16)+1, 1)</f>
        <v>0.99165907120580088</v>
      </c>
      <c r="Q24" s="158" cm="1">
        <f t="array" ref="Q24">$T$31 * INDEX($T$2:$AE$13, ROW()-ROW($F$16)+1, 1) * INDEX($T$16:$AF$28, COLUMN()-COLUMN($F$16)+1, 1)</f>
        <v>0.98617568086001239</v>
      </c>
      <c r="R24" s="158" cm="1">
        <f t="array" ref="R24">$T$31 * INDEX($T$2:$AE$13, ROW()-ROW($F$16)+1, 1) * INDEX($T$16:$AF$28, COLUMN()-COLUMN($F$16)+1, 1)</f>
        <v>0.84791947388835576</v>
      </c>
      <c r="T24" s="170">
        <v>0.14924345351660837</v>
      </c>
      <c r="U24" s="170">
        <v>-0.45331820270605444</v>
      </c>
      <c r="V24" s="170">
        <v>7.2831012591206473E-2</v>
      </c>
      <c r="W24" s="170">
        <v>0.18689793515879063</v>
      </c>
      <c r="X24" s="170">
        <v>0.13452048083519663</v>
      </c>
      <c r="Y24" s="170">
        <v>-0.12745313589291532</v>
      </c>
      <c r="Z24" s="170">
        <v>-0.12827684573259371</v>
      </c>
      <c r="AA24" s="170">
        <v>0.53209306590370764</v>
      </c>
      <c r="AB24" s="170">
        <v>8.2327420716932026E-2</v>
      </c>
      <c r="AC24" s="170">
        <v>-0.22189117275606687</v>
      </c>
      <c r="AD24" s="170">
        <v>0.33207506604319736</v>
      </c>
      <c r="AE24" s="170">
        <v>-0.23549360254009885</v>
      </c>
      <c r="AF24" s="170">
        <v>0.41991806283521393</v>
      </c>
      <c r="AJ24" s="291"/>
      <c r="AK24" s="21"/>
    </row>
    <row r="25" spans="1:37" x14ac:dyDescent="0.3">
      <c r="A25" s="294">
        <v>207.57</v>
      </c>
      <c r="B25" s="293">
        <f t="shared" si="0"/>
        <v>210.15407667323723</v>
      </c>
      <c r="C25" s="21">
        <f t="shared" si="1"/>
        <v>-0.96520565969335148</v>
      </c>
      <c r="D25" s="292" cm="1">
        <f t="array" ref="D25">AVERAGE(IF(((ROW($F$16:$R$27)-ROW($F$16)+1)+(COLUMN($F$16:$R$27)-COLUMN($F$16)+1)) = ROW()-ROW($D$2)+2, $F$16:$R$27))</f>
        <v>-0.14238819822032237</v>
      </c>
      <c r="F25" s="158" cm="1">
        <f t="array" ref="F25">$T$31 * INDEX($T$2:$AE$13, ROW()-ROW($F$16)+1, 1) * INDEX($T$16:$AF$28, COLUMN()-COLUMN($F$16)+1, 1)</f>
        <v>0.76484829665845755</v>
      </c>
      <c r="G25" s="158" cm="1">
        <f t="array" ref="G25">$T$31 * INDEX($T$2:$AE$13, ROW()-ROW($F$16)+1, 1) * INDEX($T$16:$AF$28, COLUMN()-COLUMN($F$16)+1, 1)</f>
        <v>0.36462774394368325</v>
      </c>
      <c r="H25" s="158" cm="1">
        <f t="array" ref="H25">$T$31 * INDEX($T$2:$AE$13, ROW()-ROW($F$16)+1, 1) * INDEX($T$16:$AF$28, COLUMN()-COLUMN($F$16)+1, 1)</f>
        <v>-1.4582375335643223E-2</v>
      </c>
      <c r="I25" s="158" cm="1">
        <f t="array" ref="I25">$T$31 * INDEX($T$2:$AE$13, ROW()-ROW($F$16)+1, 1) * INDEX($T$16:$AF$28, COLUMN()-COLUMN($F$16)+1, 1)</f>
        <v>-0.2709250425246475</v>
      </c>
      <c r="J25" s="158" cm="1">
        <f t="array" ref="J25">$T$31 * INDEX($T$2:$AE$13, ROW()-ROW($F$16)+1, 1) * INDEX($T$16:$AF$28, COLUMN()-COLUMN($F$16)+1, 1)</f>
        <v>-0.21344066015182564</v>
      </c>
      <c r="K25" s="158" cm="1">
        <f t="array" ref="K25">$T$31 * INDEX($T$2:$AE$13, ROW()-ROW($F$16)+1, 1) * INDEX($T$16:$AF$28, COLUMN()-COLUMN($F$16)+1, 1)</f>
        <v>-4.0780215565843013E-2</v>
      </c>
      <c r="L25" s="158" cm="1">
        <f t="array" ref="L25">$T$31 * INDEX($T$2:$AE$13, ROW()-ROW($F$16)+1, 1) * INDEX($T$16:$AF$28, COLUMN()-COLUMN($F$16)+1, 1)</f>
        <v>-1.8890819708064353E-2</v>
      </c>
      <c r="M25" s="158" cm="1">
        <f t="array" ref="M25">$T$31 * INDEX($T$2:$AE$13, ROW()-ROW($F$16)+1, 1) * INDEX($T$16:$AF$28, COLUMN()-COLUMN($F$16)+1, 1)</f>
        <v>4.8183445583576789E-2</v>
      </c>
      <c r="N25" s="158" cm="1">
        <f t="array" ref="N25">$T$31 * INDEX($T$2:$AE$13, ROW()-ROW($F$16)+1, 1) * INDEX($T$16:$AF$28, COLUMN()-COLUMN($F$16)+1, 1)</f>
        <v>0.22464958670578791</v>
      </c>
      <c r="O25" s="158" cm="1">
        <f t="array" ref="O25">$T$31 * INDEX($T$2:$AE$13, ROW()-ROW($F$16)+1, 1) * INDEX($T$16:$AF$28, COLUMN()-COLUMN($F$16)+1, 1)</f>
        <v>0.46988808887538008</v>
      </c>
      <c r="P25" s="158" cm="1">
        <f t="array" ref="P25">$T$31 * INDEX($T$2:$AE$13, ROW()-ROW($F$16)+1, 1) * INDEX($T$16:$AF$28, COLUMN()-COLUMN($F$16)+1, 1)</f>
        <v>0.6510849113985383</v>
      </c>
      <c r="Q25" s="158" cm="1">
        <f t="array" ref="Q25">$T$31 * INDEX($T$2:$AE$13, ROW()-ROW($F$16)+1, 1) * INDEX($T$16:$AF$28, COLUMN()-COLUMN($F$16)+1, 1)</f>
        <v>0.64748472982291849</v>
      </c>
      <c r="R25" s="158" cm="1">
        <f t="array" ref="R25">$T$31 * INDEX($T$2:$AE$13, ROW()-ROW($F$16)+1, 1) * INDEX($T$16:$AF$28, COLUMN()-COLUMN($F$16)+1, 1)</f>
        <v>0.55671106286398664</v>
      </c>
      <c r="T25" s="170">
        <v>0.31216492395298023</v>
      </c>
      <c r="U25" s="170">
        <v>-0.39217169302302679</v>
      </c>
      <c r="V25" s="170">
        <v>9.5616795114647046E-2</v>
      </c>
      <c r="W25" s="170">
        <v>8.4527675197347302E-2</v>
      </c>
      <c r="X25" s="170">
        <v>-0.1919635001518287</v>
      </c>
      <c r="Y25" s="170">
        <v>-0.30140596360814531</v>
      </c>
      <c r="Z25" s="170">
        <v>0.4450353777824646</v>
      </c>
      <c r="AA25" s="170">
        <v>0.18174928446623642</v>
      </c>
      <c r="AB25" s="170">
        <v>-3.7565849961089151E-2</v>
      </c>
      <c r="AC25" s="170">
        <v>0.23874438064384926</v>
      </c>
      <c r="AD25" s="170">
        <v>-0.23570299922822852</v>
      </c>
      <c r="AE25" s="170">
        <v>0.49660907332146731</v>
      </c>
      <c r="AF25" s="170">
        <v>-0.11443577224305523</v>
      </c>
      <c r="AJ25" s="291"/>
      <c r="AK25" s="21"/>
    </row>
    <row r="26" spans="1:37" x14ac:dyDescent="0.3">
      <c r="B26" s="290">
        <f t="shared" si="0"/>
        <v>209.88815692190443</v>
      </c>
      <c r="C26" s="21"/>
      <c r="D26" s="289">
        <f>SUMPRODUCT($D$31:$D$42,D14:D25)</f>
        <v>-0.22706192985270404</v>
      </c>
      <c r="F26" s="158" cm="1">
        <f t="array" ref="F26">$T$31 * INDEX($T$2:$AE$13, ROW()-ROW($F$16)+1, 1) * INDEX($T$16:$AF$28, COLUMN()-COLUMN($F$16)+1, 1)</f>
        <v>0.22238699121678476</v>
      </c>
      <c r="G26" s="158" cm="1">
        <f t="array" ref="G26">$T$31 * INDEX($T$2:$AE$13, ROW()-ROW($F$16)+1, 1) * INDEX($T$16:$AF$28, COLUMN()-COLUMN($F$16)+1, 1)</f>
        <v>0.10601902003844028</v>
      </c>
      <c r="H26" s="158" cm="1">
        <f t="array" ref="H26">$T$31 * INDEX($T$2:$AE$13, ROW()-ROW($F$16)+1, 1) * INDEX($T$16:$AF$28, COLUMN()-COLUMN($F$16)+1, 1)</f>
        <v>-4.2399657420374385E-3</v>
      </c>
      <c r="I26" s="158" cm="1">
        <f t="array" ref="I26">$T$31 * INDEX($T$2:$AE$13, ROW()-ROW($F$16)+1, 1) * INDEX($T$16:$AF$28, COLUMN()-COLUMN($F$16)+1, 1)</f>
        <v>-7.8774059268436211E-2</v>
      </c>
      <c r="J26" s="158" cm="1">
        <f t="array" ref="J26">$T$31 * INDEX($T$2:$AE$13, ROW()-ROW($F$16)+1, 1) * INDEX($T$16:$AF$28, COLUMN()-COLUMN($F$16)+1, 1)</f>
        <v>-6.2059922760977118E-2</v>
      </c>
      <c r="K26" s="158" cm="1">
        <f t="array" ref="K26">$T$31 * INDEX($T$2:$AE$13, ROW()-ROW($F$16)+1, 1) * INDEX($T$16:$AF$28, COLUMN()-COLUMN($F$16)+1, 1)</f>
        <v>-1.185723950812362E-2</v>
      </c>
      <c r="L26" s="158" cm="1">
        <f t="array" ref="L26">$T$31 * INDEX($T$2:$AE$13, ROW()-ROW($F$16)+1, 1) * INDEX($T$16:$AF$28, COLUMN()-COLUMN($F$16)+1, 1)</f>
        <v>-5.4926873405474258E-3</v>
      </c>
      <c r="M26" s="158" cm="1">
        <f t="array" ref="M26">$T$31 * INDEX($T$2:$AE$13, ROW()-ROW($F$16)+1, 1) * INDEX($T$16:$AF$28, COLUMN()-COLUMN($F$16)+1, 1)</f>
        <v>1.400979976892628E-2</v>
      </c>
      <c r="N26" s="158" cm="1">
        <f t="array" ref="N26">$T$31 * INDEX($T$2:$AE$13, ROW()-ROW($F$16)+1, 1) * INDEX($T$16:$AF$28, COLUMN()-COLUMN($F$16)+1, 1)</f>
        <v>6.5319025856317756E-2</v>
      </c>
      <c r="O26" s="158" cm="1">
        <f t="array" ref="O26">$T$31 * INDEX($T$2:$AE$13, ROW()-ROW($F$16)+1, 1) * INDEX($T$16:$AF$28, COLUMN()-COLUMN($F$16)+1, 1)</f>
        <v>0.13662447671013639</v>
      </c>
      <c r="P26" s="158" cm="1">
        <f t="array" ref="P26">$T$31 * INDEX($T$2:$AE$13, ROW()-ROW($F$16)+1, 1) * INDEX($T$16:$AF$28, COLUMN()-COLUMN($F$16)+1, 1)</f>
        <v>0.18930919386910125</v>
      </c>
      <c r="Q26" s="158" cm="1">
        <f t="array" ref="Q26">$T$31 * INDEX($T$2:$AE$13, ROW()-ROW($F$16)+1, 1) * INDEX($T$16:$AF$28, COLUMN()-COLUMN($F$16)+1, 1)</f>
        <v>0.18826240648402887</v>
      </c>
      <c r="R26" s="158" cm="1">
        <f t="array" ref="R26">$T$31 * INDEX($T$2:$AE$13, ROW()-ROW($F$16)+1, 1) * INDEX($T$16:$AF$28, COLUMN()-COLUMN($F$16)+1, 1)</f>
        <v>0.16186909062661542</v>
      </c>
      <c r="T26" s="170">
        <v>0.43254101703259135</v>
      </c>
      <c r="U26" s="170">
        <v>-0.24794688075681021</v>
      </c>
      <c r="V26" s="170">
        <v>-5.6788612236586225E-2</v>
      </c>
      <c r="W26" s="170">
        <v>-0.18709501994686484</v>
      </c>
      <c r="X26" s="170">
        <v>6.0090239246095953E-2</v>
      </c>
      <c r="Y26" s="170">
        <v>3.5307975537396792E-2</v>
      </c>
      <c r="Z26" s="170">
        <v>0.39039839232131301</v>
      </c>
      <c r="AA26" s="170">
        <v>-0.41782060369432344</v>
      </c>
      <c r="AB26" s="170">
        <v>0.1411922880088203</v>
      </c>
      <c r="AC26" s="170">
        <v>-0.20888491190301328</v>
      </c>
      <c r="AD26" s="170">
        <v>0.2965767676429153</v>
      </c>
      <c r="AE26" s="170">
        <v>-0.38968354538565392</v>
      </c>
      <c r="AF26" s="170">
        <v>-0.27924801715889269</v>
      </c>
    </row>
    <row r="27" spans="1:37" x14ac:dyDescent="0.3">
      <c r="B27" s="290">
        <f t="shared" si="0"/>
        <v>210.05897103097243</v>
      </c>
      <c r="C27" s="21"/>
      <c r="D27" s="289">
        <f>SUMPRODUCT($D$31:$D$42,D15:D26)</f>
        <v>-0.17267158104349933</v>
      </c>
      <c r="F27" s="158" cm="1">
        <f t="array" ref="F27">$T$31 * INDEX($T$2:$AE$13, ROW()-ROW($F$16)+1, 1) * INDEX($T$16:$AF$28, COLUMN()-COLUMN($F$16)+1, 1)</f>
        <v>-0.19562278915892081</v>
      </c>
      <c r="G27" s="158" cm="1">
        <f t="array" ref="G27">$T$31 * INDEX($T$2:$AE$13, ROW()-ROW($F$16)+1, 1) * INDEX($T$16:$AF$28, COLUMN()-COLUMN($F$16)+1, 1)</f>
        <v>-9.3259665461267613E-2</v>
      </c>
      <c r="H27" s="158" cm="1">
        <f t="array" ref="H27">$T$31 * INDEX($T$2:$AE$13, ROW()-ROW($F$16)+1, 1) * INDEX($T$16:$AF$28, COLUMN()-COLUMN($F$16)+1, 1)</f>
        <v>3.7296872441027712E-3</v>
      </c>
      <c r="I27" s="158" cm="1">
        <f t="array" ref="I27">$T$31 * INDEX($T$2:$AE$13, ROW()-ROW($F$16)+1, 1) * INDEX($T$16:$AF$28, COLUMN()-COLUMN($F$16)+1, 1)</f>
        <v>6.929362685805586E-2</v>
      </c>
      <c r="J27" s="158" cm="1">
        <f t="array" ref="J27">$T$31 * INDEX($T$2:$AE$13, ROW()-ROW($F$16)+1, 1) * INDEX($T$16:$AF$28, COLUMN()-COLUMN($F$16)+1, 1)</f>
        <v>5.4591031242717941E-2</v>
      </c>
      <c r="K27" s="158" cm="1">
        <f t="array" ref="K27">$T$31 * INDEX($T$2:$AE$13, ROW()-ROW($F$16)+1, 1) * INDEX($T$16:$AF$28, COLUMN()-COLUMN($F$16)+1, 1)</f>
        <v>1.0430224590085755E-2</v>
      </c>
      <c r="L27" s="158" cm="1">
        <f t="array" ref="L27">$T$31 * INDEX($T$2:$AE$13, ROW()-ROW($F$16)+1, 1) * INDEX($T$16:$AF$28, COLUMN()-COLUMN($F$16)+1, 1)</f>
        <v>4.8316442057006644E-3</v>
      </c>
      <c r="M27" s="158" cm="1">
        <f t="array" ref="M27">$T$31 * INDEX($T$2:$AE$13, ROW()-ROW($F$16)+1, 1) * INDEX($T$16:$AF$28, COLUMN()-COLUMN($F$16)+1, 1)</f>
        <v>-1.2323724923656921E-2</v>
      </c>
      <c r="N27" s="158" cm="1">
        <f t="array" ref="N27">$T$31 * INDEX($T$2:$AE$13, ROW()-ROW($F$16)+1, 1) * INDEX($T$16:$AF$28, COLUMN()-COLUMN($F$16)+1, 1)</f>
        <v>-5.7457902340611947E-2</v>
      </c>
      <c r="O27" s="158" cm="1">
        <f t="array" ref="O27">$T$31 * INDEX($T$2:$AE$13, ROW()-ROW($F$16)+1, 1) * INDEX($T$16:$AF$28, COLUMN()-COLUMN($F$16)+1, 1)</f>
        <v>-0.12018176537746006</v>
      </c>
      <c r="P27" s="158" cm="1">
        <f t="array" ref="P27">$T$31 * INDEX($T$2:$AE$13, ROW()-ROW($F$16)+1, 1) * INDEX($T$16:$AF$28, COLUMN()-COLUMN($F$16)+1, 1)</f>
        <v>-0.16652589396292602</v>
      </c>
      <c r="Q27" s="158" cm="1">
        <f t="array" ref="Q27">$T$31 * INDEX($T$2:$AE$13, ROW()-ROW($F$16)+1, 1) * INDEX($T$16:$AF$28, COLUMN()-COLUMN($F$16)+1, 1)</f>
        <v>-0.16560508709916202</v>
      </c>
      <c r="R27" s="158" cm="1">
        <f t="array" ref="R27">$T$31 * INDEX($T$2:$AE$13, ROW()-ROW($F$16)+1, 1) * INDEX($T$16:$AF$28, COLUMN()-COLUMN($F$16)+1, 1)</f>
        <v>-0.14238819822032237</v>
      </c>
      <c r="T27" s="170">
        <v>0.43014927645780882</v>
      </c>
      <c r="U27" s="170">
        <v>-0.10142143666720684</v>
      </c>
      <c r="V27" s="170">
        <v>-0.33878054495438426</v>
      </c>
      <c r="W27" s="170">
        <v>-5.6534411723407139E-2</v>
      </c>
      <c r="X27" s="170">
        <v>6.2701038770863429E-2</v>
      </c>
      <c r="Y27" s="170">
        <v>0.25814402079528687</v>
      </c>
      <c r="Z27" s="170">
        <v>-9.5944934008578259E-2</v>
      </c>
      <c r="AA27" s="170">
        <v>-0.16441708736254554</v>
      </c>
      <c r="AB27" s="170">
        <v>-0.36573959435174092</v>
      </c>
      <c r="AC27" s="170">
        <v>9.7176759525315071E-2</v>
      </c>
      <c r="AD27" s="170">
        <v>-0.45066229475178304</v>
      </c>
      <c r="AE27" s="170">
        <v>-0.12954334823016597</v>
      </c>
      <c r="AF27" s="170">
        <v>0.46564146468571455</v>
      </c>
    </row>
    <row r="28" spans="1:37" x14ac:dyDescent="0.3">
      <c r="B28" s="290">
        <f t="shared" si="0"/>
        <v>210.35979615180617</v>
      </c>
      <c r="C28" s="21"/>
      <c r="D28" s="289">
        <f>SUMPRODUCT($D$31:$D$42,D16:D27)</f>
        <v>-7.6883338830995712E-2</v>
      </c>
      <c r="T28" s="170">
        <v>0.36984480074533072</v>
      </c>
      <c r="U28" s="170">
        <v>9.3218503138457656E-2</v>
      </c>
      <c r="V28" s="170">
        <v>-0.49798940113196877</v>
      </c>
      <c r="W28" s="170">
        <v>4.6179907276704749E-2</v>
      </c>
      <c r="X28" s="170">
        <v>-0.40471887535537071</v>
      </c>
      <c r="Y28" s="170">
        <v>0.16169622171839418</v>
      </c>
      <c r="Z28" s="170">
        <v>-0.382854608490938</v>
      </c>
      <c r="AA28" s="170">
        <v>0.18215933526879716</v>
      </c>
      <c r="AB28" s="170">
        <v>0.2280408439756953</v>
      </c>
      <c r="AC28" s="170">
        <v>-9.9533080727915599E-2</v>
      </c>
      <c r="AD28" s="170">
        <v>0.20926413096058202</v>
      </c>
      <c r="AE28" s="170">
        <v>0.25294348590627097</v>
      </c>
      <c r="AF28" s="170">
        <v>-0.25498049230037761</v>
      </c>
    </row>
    <row r="29" spans="1:37" x14ac:dyDescent="0.3">
      <c r="B29" s="290">
        <f t="shared" si="0"/>
        <v>210.7140908163239</v>
      </c>
      <c r="C29" s="21"/>
      <c r="D29" s="289">
        <f>SUMPRODUCT($D$31:$D$42,D17:D28)</f>
        <v>3.5930587896153485E-2</v>
      </c>
    </row>
    <row r="30" spans="1:37" x14ac:dyDescent="0.3">
      <c r="D30" t="s">
        <v>484</v>
      </c>
      <c r="F30" t="s">
        <v>483</v>
      </c>
      <c r="G30" t="s">
        <v>482</v>
      </c>
      <c r="T30" s="12" t="s">
        <v>464</v>
      </c>
    </row>
    <row r="31" spans="1:37" x14ac:dyDescent="0.3">
      <c r="D31" s="288" cm="1">
        <f t="array" ref="D31:D43">TRANSPOSE(LINEST(F31:F42,G31:R42,FALSE,FALSE))</f>
        <v>1.1778574751605146</v>
      </c>
      <c r="F31" s="286" cm="1">
        <f t="array" ref="F31">INDEX($D$2:$D$25, ROW()-ROW($F$31)+$K$1+1)</f>
        <v>-0.19498850236411205</v>
      </c>
      <c r="G31" s="285" cm="1">
        <f t="array" ref="G31">INDEX($D$2:$D$25, ROW()-ROW($G$31) + COLUMN()-COLUMN($G$31)+1)</f>
        <v>-1.3025487017845694</v>
      </c>
      <c r="H31" s="285" cm="1">
        <f t="array" ref="H31">INDEX($D$2:$D$25, ROW()-ROW($G$31) + COLUMN()-COLUMN($G$31)+1)</f>
        <v>-0.74792442349488852</v>
      </c>
      <c r="I31" s="285" cm="1">
        <f t="array" ref="I31">INDEX($D$2:$D$25, ROW()-ROW($G$31) + COLUMN()-COLUMN($G$31)+1)</f>
        <v>-0.22797524518618995</v>
      </c>
      <c r="J31" s="285" cm="1">
        <f t="array" ref="J31">INDEX($D$2:$D$25, ROW()-ROW($G$31) + COLUMN()-COLUMN($G$31)+1)</f>
        <v>0.16150883209803968</v>
      </c>
      <c r="K31" s="285" cm="1">
        <f t="array" ref="K31">INDEX($D$2:$D$25, ROW()-ROW($G$31) + COLUMN()-COLUMN($G$31)+1)</f>
        <v>0.26767253130258817</v>
      </c>
      <c r="L31" s="285" cm="1">
        <f t="array" ref="L31">INDEX($D$2:$D$25, ROW()-ROW($G$31) + COLUMN()-COLUMN($G$31)+1)</f>
        <v>0.19090476509987012</v>
      </c>
      <c r="M31" s="285" cm="1">
        <f t="array" ref="M31">INDEX($D$2:$D$25, ROW()-ROW($G$31) + COLUMN()-COLUMN($G$31)+1)</f>
        <v>0.15559405563548245</v>
      </c>
      <c r="N31" s="285" cm="1">
        <f t="array" ref="N31">INDEX($D$2:$D$25, ROW()-ROW($G$31) + COLUMN()-COLUMN($G$31)+1)</f>
        <v>0.14754279181357222</v>
      </c>
      <c r="O31" s="285" cm="1">
        <f t="array" ref="O31">INDEX($D$2:$D$25, ROW()-ROW($G$31) + COLUMN()-COLUMN($G$31)+1)</f>
        <v>0.10188155578965152</v>
      </c>
      <c r="P31" s="285" cm="1">
        <f t="array" ref="P31">INDEX($D$2:$D$25, ROW()-ROW($G$31) + COLUMN()-COLUMN($G$31)+1)</f>
        <v>-2.3654682936004923E-2</v>
      </c>
      <c r="Q31" s="285" cm="1">
        <f t="array" ref="Q31">INDEX($D$2:$D$25, ROW()-ROW($G$31) + COLUMN()-COLUMN($G$31)+1)</f>
        <v>-0.16439420676116467</v>
      </c>
      <c r="R31" s="285" cm="1">
        <f t="array" ref="R31">INDEX($D$2:$D$25, ROW()-ROW($G$31) + COLUMN()-COLUMN($G$31)+1)</f>
        <v>-0.23227562074778499</v>
      </c>
      <c r="T31" s="284" cm="1">
        <f t="array" ref="T31:AF42">[2]!SVD_D(F2:R13)</f>
        <v>5.2357697846848392</v>
      </c>
      <c r="U31" s="283">
        <v>0</v>
      </c>
      <c r="V31" s="283">
        <v>0</v>
      </c>
      <c r="W31" s="283">
        <v>0</v>
      </c>
      <c r="X31" s="283">
        <v>0</v>
      </c>
      <c r="Y31" s="283">
        <v>0</v>
      </c>
      <c r="Z31" s="283">
        <v>0</v>
      </c>
      <c r="AA31" s="283">
        <v>0</v>
      </c>
      <c r="AB31" s="283">
        <v>0</v>
      </c>
      <c r="AC31" s="283">
        <v>0</v>
      </c>
      <c r="AD31" s="283">
        <v>0</v>
      </c>
      <c r="AE31" s="283">
        <v>0</v>
      </c>
      <c r="AF31" s="283">
        <v>0</v>
      </c>
    </row>
    <row r="32" spans="1:37" x14ac:dyDescent="0.3">
      <c r="D32" s="287">
        <v>8.1239027364041802E-2</v>
      </c>
      <c r="F32" s="286" cm="1">
        <f t="array" ref="F32">INDEX($D$2:$D$25, ROW()-ROW($F$31)+$K$1+1)</f>
        <v>-4.4559229278070697E-2</v>
      </c>
      <c r="G32" s="285" cm="1">
        <f t="array" ref="G32">INDEX($D$2:$D$25, ROW()-ROW($G$31) + COLUMN()-COLUMN($G$31)+1)</f>
        <v>-0.74792442349488852</v>
      </c>
      <c r="H32" s="285" cm="1">
        <f t="array" ref="H32">INDEX($D$2:$D$25, ROW()-ROW($G$31) + COLUMN()-COLUMN($G$31)+1)</f>
        <v>-0.22797524518618995</v>
      </c>
      <c r="I32" s="285" cm="1">
        <f t="array" ref="I32">INDEX($D$2:$D$25, ROW()-ROW($G$31) + COLUMN()-COLUMN($G$31)+1)</f>
        <v>0.16150883209803968</v>
      </c>
      <c r="J32" s="285" cm="1">
        <f t="array" ref="J32">INDEX($D$2:$D$25, ROW()-ROW($G$31) + COLUMN()-COLUMN($G$31)+1)</f>
        <v>0.26767253130258817</v>
      </c>
      <c r="K32" s="285" cm="1">
        <f t="array" ref="K32">INDEX($D$2:$D$25, ROW()-ROW($G$31) + COLUMN()-COLUMN($G$31)+1)</f>
        <v>0.19090476509987012</v>
      </c>
      <c r="L32" s="285" cm="1">
        <f t="array" ref="L32">INDEX($D$2:$D$25, ROW()-ROW($G$31) + COLUMN()-COLUMN($G$31)+1)</f>
        <v>0.15559405563548245</v>
      </c>
      <c r="M32" s="285" cm="1">
        <f t="array" ref="M32">INDEX($D$2:$D$25, ROW()-ROW($G$31) + COLUMN()-COLUMN($G$31)+1)</f>
        <v>0.14754279181357222</v>
      </c>
      <c r="N32" s="285" cm="1">
        <f t="array" ref="N32">INDEX($D$2:$D$25, ROW()-ROW($G$31) + COLUMN()-COLUMN($G$31)+1)</f>
        <v>0.10188155578965152</v>
      </c>
      <c r="O32" s="285" cm="1">
        <f t="array" ref="O32">INDEX($D$2:$D$25, ROW()-ROW($G$31) + COLUMN()-COLUMN($G$31)+1)</f>
        <v>-2.3654682936004923E-2</v>
      </c>
      <c r="P32" s="285" cm="1">
        <f t="array" ref="P32">INDEX($D$2:$D$25, ROW()-ROW($G$31) + COLUMN()-COLUMN($G$31)+1)</f>
        <v>-0.16439420676116467</v>
      </c>
      <c r="Q32" s="285" cm="1">
        <f t="array" ref="Q32">INDEX($D$2:$D$25, ROW()-ROW($G$31) + COLUMN()-COLUMN($G$31)+1)</f>
        <v>-0.23227562074778499</v>
      </c>
      <c r="R32" s="285" cm="1">
        <f t="array" ref="R32">INDEX($D$2:$D$25, ROW()-ROW($G$31) + COLUMN()-COLUMN($G$31)+1)</f>
        <v>-0.19498850236411205</v>
      </c>
      <c r="T32" s="283">
        <v>0</v>
      </c>
      <c r="U32" s="284">
        <v>5.0003952440728474</v>
      </c>
      <c r="V32" s="283">
        <v>0</v>
      </c>
      <c r="W32" s="283">
        <v>0</v>
      </c>
      <c r="X32" s="283">
        <v>0</v>
      </c>
      <c r="Y32" s="283">
        <v>0</v>
      </c>
      <c r="Z32" s="283">
        <v>0</v>
      </c>
      <c r="AA32" s="283">
        <v>0</v>
      </c>
      <c r="AB32" s="283">
        <v>0</v>
      </c>
      <c r="AC32" s="283">
        <v>0</v>
      </c>
      <c r="AD32" s="283">
        <v>0</v>
      </c>
      <c r="AE32" s="283">
        <v>0</v>
      </c>
      <c r="AF32" s="283">
        <v>0</v>
      </c>
    </row>
    <row r="33" spans="4:32" x14ac:dyDescent="0.3">
      <c r="D33" s="287">
        <v>-0.42597910644461745</v>
      </c>
      <c r="F33" s="286" cm="1">
        <f t="array" ref="F33">INDEX($D$2:$D$25, ROW()-ROW($F$31)+$K$1+1)</f>
        <v>0.10321748548243581</v>
      </c>
      <c r="G33" s="285" cm="1">
        <f t="array" ref="G33">INDEX($D$2:$D$25, ROW()-ROW($G$31) + COLUMN()-COLUMN($G$31)+1)</f>
        <v>-0.22797524518618995</v>
      </c>
      <c r="H33" s="285" cm="1">
        <f t="array" ref="H33">INDEX($D$2:$D$25, ROW()-ROW($G$31) + COLUMN()-COLUMN($G$31)+1)</f>
        <v>0.16150883209803968</v>
      </c>
      <c r="I33" s="285" cm="1">
        <f t="array" ref="I33">INDEX($D$2:$D$25, ROW()-ROW($G$31) + COLUMN()-COLUMN($G$31)+1)</f>
        <v>0.26767253130258817</v>
      </c>
      <c r="J33" s="285" cm="1">
        <f t="array" ref="J33">INDEX($D$2:$D$25, ROW()-ROW($G$31) + COLUMN()-COLUMN($G$31)+1)</f>
        <v>0.19090476509987012</v>
      </c>
      <c r="K33" s="285" cm="1">
        <f t="array" ref="K33">INDEX($D$2:$D$25, ROW()-ROW($G$31) + COLUMN()-COLUMN($G$31)+1)</f>
        <v>0.15559405563548245</v>
      </c>
      <c r="L33" s="285" cm="1">
        <f t="array" ref="L33">INDEX($D$2:$D$25, ROW()-ROW($G$31) + COLUMN()-COLUMN($G$31)+1)</f>
        <v>0.14754279181357222</v>
      </c>
      <c r="M33" s="285" cm="1">
        <f t="array" ref="M33">INDEX($D$2:$D$25, ROW()-ROW($G$31) + COLUMN()-COLUMN($G$31)+1)</f>
        <v>0.10188155578965152</v>
      </c>
      <c r="N33" s="285" cm="1">
        <f t="array" ref="N33">INDEX($D$2:$D$25, ROW()-ROW($G$31) + COLUMN()-COLUMN($G$31)+1)</f>
        <v>-2.3654682936004923E-2</v>
      </c>
      <c r="O33" s="285" cm="1">
        <f t="array" ref="O33">INDEX($D$2:$D$25, ROW()-ROW($G$31) + COLUMN()-COLUMN($G$31)+1)</f>
        <v>-0.16439420676116467</v>
      </c>
      <c r="P33" s="285" cm="1">
        <f t="array" ref="P33">INDEX($D$2:$D$25, ROW()-ROW($G$31) + COLUMN()-COLUMN($G$31)+1)</f>
        <v>-0.23227562074778499</v>
      </c>
      <c r="Q33" s="285" cm="1">
        <f t="array" ref="Q33">INDEX($D$2:$D$25, ROW()-ROW($G$31) + COLUMN()-COLUMN($G$31)+1)</f>
        <v>-0.19498850236411205</v>
      </c>
      <c r="R33" s="285" cm="1">
        <f t="array" ref="R33">INDEX($D$2:$D$25, ROW()-ROW($G$31) + COLUMN()-COLUMN($G$31)+1)</f>
        <v>-4.4559229278070697E-2</v>
      </c>
      <c r="T33" s="283">
        <v>0</v>
      </c>
      <c r="U33" s="283">
        <v>0</v>
      </c>
      <c r="V33" s="284">
        <v>3.5281484896607522</v>
      </c>
      <c r="W33" s="283">
        <v>0</v>
      </c>
      <c r="X33" s="283">
        <v>0</v>
      </c>
      <c r="Y33" s="283">
        <v>0</v>
      </c>
      <c r="Z33" s="283">
        <v>0</v>
      </c>
      <c r="AA33" s="283">
        <v>0</v>
      </c>
      <c r="AB33" s="283">
        <v>0</v>
      </c>
      <c r="AC33" s="283">
        <v>0</v>
      </c>
      <c r="AD33" s="283">
        <v>0</v>
      </c>
      <c r="AE33" s="283">
        <v>0</v>
      </c>
      <c r="AF33" s="283">
        <v>0</v>
      </c>
    </row>
    <row r="34" spans="4:32" x14ac:dyDescent="0.3">
      <c r="D34" s="287">
        <v>-9.03474591881233E-2</v>
      </c>
      <c r="F34" s="286" cm="1">
        <f t="array" ref="F34">INDEX($D$2:$D$25, ROW()-ROW($F$31)+$K$1+1)</f>
        <v>0.22213405380300993</v>
      </c>
      <c r="G34" s="285" cm="1">
        <f t="array" ref="G34">INDEX($D$2:$D$25, ROW()-ROW($G$31) + COLUMN()-COLUMN($G$31)+1)</f>
        <v>0.16150883209803968</v>
      </c>
      <c r="H34" s="285" cm="1">
        <f t="array" ref="H34">INDEX($D$2:$D$25, ROW()-ROW($G$31) + COLUMN()-COLUMN($G$31)+1)</f>
        <v>0.26767253130258817</v>
      </c>
      <c r="I34" s="285" cm="1">
        <f t="array" ref="I34">INDEX($D$2:$D$25, ROW()-ROW($G$31) + COLUMN()-COLUMN($G$31)+1)</f>
        <v>0.19090476509987012</v>
      </c>
      <c r="J34" s="285" cm="1">
        <f t="array" ref="J34">INDEX($D$2:$D$25, ROW()-ROW($G$31) + COLUMN()-COLUMN($G$31)+1)</f>
        <v>0.15559405563548245</v>
      </c>
      <c r="K34" s="285" cm="1">
        <f t="array" ref="K34">INDEX($D$2:$D$25, ROW()-ROW($G$31) + COLUMN()-COLUMN($G$31)+1)</f>
        <v>0.14754279181357222</v>
      </c>
      <c r="L34" s="285" cm="1">
        <f t="array" ref="L34">INDEX($D$2:$D$25, ROW()-ROW($G$31) + COLUMN()-COLUMN($G$31)+1)</f>
        <v>0.10188155578965152</v>
      </c>
      <c r="M34" s="285" cm="1">
        <f t="array" ref="M34">INDEX($D$2:$D$25, ROW()-ROW($G$31) + COLUMN()-COLUMN($G$31)+1)</f>
        <v>-2.3654682936004923E-2</v>
      </c>
      <c r="N34" s="285" cm="1">
        <f t="array" ref="N34">INDEX($D$2:$D$25, ROW()-ROW($G$31) + COLUMN()-COLUMN($G$31)+1)</f>
        <v>-0.16439420676116467</v>
      </c>
      <c r="O34" s="285" cm="1">
        <f t="array" ref="O34">INDEX($D$2:$D$25, ROW()-ROW($G$31) + COLUMN()-COLUMN($G$31)+1)</f>
        <v>-0.23227562074778499</v>
      </c>
      <c r="P34" s="285" cm="1">
        <f t="array" ref="P34">INDEX($D$2:$D$25, ROW()-ROW($G$31) + COLUMN()-COLUMN($G$31)+1)</f>
        <v>-0.19498850236411205</v>
      </c>
      <c r="Q34" s="285" cm="1">
        <f t="array" ref="Q34">INDEX($D$2:$D$25, ROW()-ROW($G$31) + COLUMN()-COLUMN($G$31)+1)</f>
        <v>-4.4559229278070697E-2</v>
      </c>
      <c r="R34" s="285" cm="1">
        <f t="array" ref="R34">INDEX($D$2:$D$25, ROW()-ROW($G$31) + COLUMN()-COLUMN($G$31)+1)</f>
        <v>0.10321748548243581</v>
      </c>
      <c r="T34" s="283">
        <v>0</v>
      </c>
      <c r="U34" s="283">
        <v>0</v>
      </c>
      <c r="V34" s="283">
        <v>0</v>
      </c>
      <c r="W34" s="284">
        <v>2.389623485560092</v>
      </c>
      <c r="X34" s="283">
        <v>0</v>
      </c>
      <c r="Y34" s="283">
        <v>0</v>
      </c>
      <c r="Z34" s="283">
        <v>0</v>
      </c>
      <c r="AA34" s="283">
        <v>0</v>
      </c>
      <c r="AB34" s="283">
        <v>0</v>
      </c>
      <c r="AC34" s="283">
        <v>0</v>
      </c>
      <c r="AD34" s="283">
        <v>0</v>
      </c>
      <c r="AE34" s="283">
        <v>0</v>
      </c>
      <c r="AF34" s="283">
        <v>0</v>
      </c>
    </row>
    <row r="35" spans="4:32" x14ac:dyDescent="0.3">
      <c r="D35" s="287">
        <v>0.49744928599737209</v>
      </c>
      <c r="F35" s="286" cm="1">
        <f t="array" ref="F35">INDEX($D$2:$D$25, ROW()-ROW($F$31)+$K$1+1)</f>
        <v>0.3200749800819026</v>
      </c>
      <c r="G35" s="285" cm="1">
        <f t="array" ref="G35">INDEX($D$2:$D$25, ROW()-ROW($G$31) + COLUMN()-COLUMN($G$31)+1)</f>
        <v>0.26767253130258817</v>
      </c>
      <c r="H35" s="285" cm="1">
        <f t="array" ref="H35">INDEX($D$2:$D$25, ROW()-ROW($G$31) + COLUMN()-COLUMN($G$31)+1)</f>
        <v>0.19090476509987012</v>
      </c>
      <c r="I35" s="285" cm="1">
        <f t="array" ref="I35">INDEX($D$2:$D$25, ROW()-ROW($G$31) + COLUMN()-COLUMN($G$31)+1)</f>
        <v>0.15559405563548245</v>
      </c>
      <c r="J35" s="285" cm="1">
        <f t="array" ref="J35">INDEX($D$2:$D$25, ROW()-ROW($G$31) + COLUMN()-COLUMN($G$31)+1)</f>
        <v>0.14754279181357222</v>
      </c>
      <c r="K35" s="285" cm="1">
        <f t="array" ref="K35">INDEX($D$2:$D$25, ROW()-ROW($G$31) + COLUMN()-COLUMN($G$31)+1)</f>
        <v>0.10188155578965152</v>
      </c>
      <c r="L35" s="285" cm="1">
        <f t="array" ref="L35">INDEX($D$2:$D$25, ROW()-ROW($G$31) + COLUMN()-COLUMN($G$31)+1)</f>
        <v>-2.3654682936004923E-2</v>
      </c>
      <c r="M35" s="285" cm="1">
        <f t="array" ref="M35">INDEX($D$2:$D$25, ROW()-ROW($G$31) + COLUMN()-COLUMN($G$31)+1)</f>
        <v>-0.16439420676116467</v>
      </c>
      <c r="N35" s="285" cm="1">
        <f t="array" ref="N35">INDEX($D$2:$D$25, ROW()-ROW($G$31) + COLUMN()-COLUMN($G$31)+1)</f>
        <v>-0.23227562074778499</v>
      </c>
      <c r="O35" s="285" cm="1">
        <f t="array" ref="O35">INDEX($D$2:$D$25, ROW()-ROW($G$31) + COLUMN()-COLUMN($G$31)+1)</f>
        <v>-0.19498850236411205</v>
      </c>
      <c r="P35" s="285" cm="1">
        <f t="array" ref="P35">INDEX($D$2:$D$25, ROW()-ROW($G$31) + COLUMN()-COLUMN($G$31)+1)</f>
        <v>-4.4559229278070697E-2</v>
      </c>
      <c r="Q35" s="285" cm="1">
        <f t="array" ref="Q35">INDEX($D$2:$D$25, ROW()-ROW($G$31) + COLUMN()-COLUMN($G$31)+1)</f>
        <v>0.10321748548243581</v>
      </c>
      <c r="R35" s="285" cm="1">
        <f t="array" ref="R35">INDEX($D$2:$D$25, ROW()-ROW($G$31) + COLUMN()-COLUMN($G$31)+1)</f>
        <v>0.22213405380300993</v>
      </c>
      <c r="T35" s="283">
        <v>0</v>
      </c>
      <c r="U35" s="283">
        <v>0</v>
      </c>
      <c r="V35" s="283">
        <v>0</v>
      </c>
      <c r="W35" s="283">
        <v>0</v>
      </c>
      <c r="X35" s="284">
        <v>1.6219520291611704</v>
      </c>
      <c r="Y35" s="283">
        <v>0</v>
      </c>
      <c r="Z35" s="283">
        <v>0</v>
      </c>
      <c r="AA35" s="283">
        <v>0</v>
      </c>
      <c r="AB35" s="283">
        <v>0</v>
      </c>
      <c r="AC35" s="283">
        <v>0</v>
      </c>
      <c r="AD35" s="283">
        <v>0</v>
      </c>
      <c r="AE35" s="283">
        <v>0</v>
      </c>
      <c r="AF35" s="283">
        <v>0</v>
      </c>
    </row>
    <row r="36" spans="4:32" x14ac:dyDescent="0.3">
      <c r="D36" s="287">
        <v>-0.48929978294689352</v>
      </c>
      <c r="F36" s="286" cm="1">
        <f t="array" ref="F36">INDEX($D$2:$D$25, ROW()-ROW($F$31)+$K$1+1)</f>
        <v>0.42185676979323672</v>
      </c>
      <c r="G36" s="285" cm="1">
        <f t="array" ref="G36">INDEX($D$2:$D$25, ROW()-ROW($G$31) + COLUMN()-COLUMN($G$31)+1)</f>
        <v>0.19090476509987012</v>
      </c>
      <c r="H36" s="285" cm="1">
        <f t="array" ref="H36">INDEX($D$2:$D$25, ROW()-ROW($G$31) + COLUMN()-COLUMN($G$31)+1)</f>
        <v>0.15559405563548245</v>
      </c>
      <c r="I36" s="285" cm="1">
        <f t="array" ref="I36">INDEX($D$2:$D$25, ROW()-ROW($G$31) + COLUMN()-COLUMN($G$31)+1)</f>
        <v>0.14754279181357222</v>
      </c>
      <c r="J36" s="285" cm="1">
        <f t="array" ref="J36">INDEX($D$2:$D$25, ROW()-ROW($G$31) + COLUMN()-COLUMN($G$31)+1)</f>
        <v>0.10188155578965152</v>
      </c>
      <c r="K36" s="285" cm="1">
        <f t="array" ref="K36">INDEX($D$2:$D$25, ROW()-ROW($G$31) + COLUMN()-COLUMN($G$31)+1)</f>
        <v>-2.3654682936004923E-2</v>
      </c>
      <c r="L36" s="285" cm="1">
        <f t="array" ref="L36">INDEX($D$2:$D$25, ROW()-ROW($G$31) + COLUMN()-COLUMN($G$31)+1)</f>
        <v>-0.16439420676116467</v>
      </c>
      <c r="M36" s="285" cm="1">
        <f t="array" ref="M36">INDEX($D$2:$D$25, ROW()-ROW($G$31) + COLUMN()-COLUMN($G$31)+1)</f>
        <v>-0.23227562074778499</v>
      </c>
      <c r="N36" s="285" cm="1">
        <f t="array" ref="N36">INDEX($D$2:$D$25, ROW()-ROW($G$31) + COLUMN()-COLUMN($G$31)+1)</f>
        <v>-0.19498850236411205</v>
      </c>
      <c r="O36" s="285" cm="1">
        <f t="array" ref="O36">INDEX($D$2:$D$25, ROW()-ROW($G$31) + COLUMN()-COLUMN($G$31)+1)</f>
        <v>-4.4559229278070697E-2</v>
      </c>
      <c r="P36" s="285" cm="1">
        <f t="array" ref="P36">INDEX($D$2:$D$25, ROW()-ROW($G$31) + COLUMN()-COLUMN($G$31)+1)</f>
        <v>0.10321748548243581</v>
      </c>
      <c r="Q36" s="285" cm="1">
        <f t="array" ref="Q36">INDEX($D$2:$D$25, ROW()-ROW($G$31) + COLUMN()-COLUMN($G$31)+1)</f>
        <v>0.22213405380300993</v>
      </c>
      <c r="R36" s="285" cm="1">
        <f t="array" ref="R36">INDEX($D$2:$D$25, ROW()-ROW($G$31) + COLUMN()-COLUMN($G$31)+1)</f>
        <v>0.3200749800819026</v>
      </c>
      <c r="T36" s="283">
        <v>0</v>
      </c>
      <c r="U36" s="283">
        <v>0</v>
      </c>
      <c r="V36" s="283">
        <v>0</v>
      </c>
      <c r="W36" s="283">
        <v>0</v>
      </c>
      <c r="X36" s="283">
        <v>0</v>
      </c>
      <c r="Y36" s="284">
        <v>1.3851250077835173</v>
      </c>
      <c r="Z36" s="283">
        <v>0</v>
      </c>
      <c r="AA36" s="283">
        <v>0</v>
      </c>
      <c r="AB36" s="283">
        <v>0</v>
      </c>
      <c r="AC36" s="283">
        <v>0</v>
      </c>
      <c r="AD36" s="283">
        <v>0</v>
      </c>
      <c r="AE36" s="283">
        <v>0</v>
      </c>
      <c r="AF36" s="283">
        <v>0</v>
      </c>
    </row>
    <row r="37" spans="4:32" x14ac:dyDescent="0.3">
      <c r="D37" s="287">
        <v>-5.8979715939894969E-2</v>
      </c>
      <c r="F37" s="286" cm="1">
        <f t="array" ref="F37">INDEX($D$2:$D$25, ROW()-ROW($F$31)+$K$1+1)</f>
        <v>0.50833670054933167</v>
      </c>
      <c r="G37" s="285" cm="1">
        <f t="array" ref="G37">INDEX($D$2:$D$25, ROW()-ROW($G$31) + COLUMN()-COLUMN($G$31)+1)</f>
        <v>0.15559405563548245</v>
      </c>
      <c r="H37" s="285" cm="1">
        <f t="array" ref="H37">INDEX($D$2:$D$25, ROW()-ROW($G$31) + COLUMN()-COLUMN($G$31)+1)</f>
        <v>0.14754279181357222</v>
      </c>
      <c r="I37" s="285" cm="1">
        <f t="array" ref="I37">INDEX($D$2:$D$25, ROW()-ROW($G$31) + COLUMN()-COLUMN($G$31)+1)</f>
        <v>0.10188155578965152</v>
      </c>
      <c r="J37" s="285" cm="1">
        <f t="array" ref="J37">INDEX($D$2:$D$25, ROW()-ROW($G$31) + COLUMN()-COLUMN($G$31)+1)</f>
        <v>-2.3654682936004923E-2</v>
      </c>
      <c r="K37" s="285" cm="1">
        <f t="array" ref="K37">INDEX($D$2:$D$25, ROW()-ROW($G$31) + COLUMN()-COLUMN($G$31)+1)</f>
        <v>-0.16439420676116467</v>
      </c>
      <c r="L37" s="285" cm="1">
        <f t="array" ref="L37">INDEX($D$2:$D$25, ROW()-ROW($G$31) + COLUMN()-COLUMN($G$31)+1)</f>
        <v>-0.23227562074778499</v>
      </c>
      <c r="M37" s="285" cm="1">
        <f t="array" ref="M37">INDEX($D$2:$D$25, ROW()-ROW($G$31) + COLUMN()-COLUMN($G$31)+1)</f>
        <v>-0.19498850236411205</v>
      </c>
      <c r="N37" s="285" cm="1">
        <f t="array" ref="N37">INDEX($D$2:$D$25, ROW()-ROW($G$31) + COLUMN()-COLUMN($G$31)+1)</f>
        <v>-4.4559229278070697E-2</v>
      </c>
      <c r="O37" s="285" cm="1">
        <f t="array" ref="O37">INDEX($D$2:$D$25, ROW()-ROW($G$31) + COLUMN()-COLUMN($G$31)+1)</f>
        <v>0.10321748548243581</v>
      </c>
      <c r="P37" s="285" cm="1">
        <f t="array" ref="P37">INDEX($D$2:$D$25, ROW()-ROW($G$31) + COLUMN()-COLUMN($G$31)+1)</f>
        <v>0.22213405380300993</v>
      </c>
      <c r="Q37" s="285" cm="1">
        <f t="array" ref="Q37">INDEX($D$2:$D$25, ROW()-ROW($G$31) + COLUMN()-COLUMN($G$31)+1)</f>
        <v>0.3200749800819026</v>
      </c>
      <c r="R37" s="285" cm="1">
        <f t="array" ref="R37">INDEX($D$2:$D$25, ROW()-ROW($G$31) + COLUMN()-COLUMN($G$31)+1)</f>
        <v>0.42185676979323672</v>
      </c>
      <c r="T37" s="283">
        <v>0</v>
      </c>
      <c r="U37" s="283">
        <v>0</v>
      </c>
      <c r="V37" s="283">
        <v>0</v>
      </c>
      <c r="W37" s="283">
        <v>0</v>
      </c>
      <c r="X37" s="283">
        <v>0</v>
      </c>
      <c r="Y37" s="283">
        <v>0</v>
      </c>
      <c r="Z37" s="284">
        <v>0.92471503596679783</v>
      </c>
      <c r="AA37" s="283">
        <v>0</v>
      </c>
      <c r="AB37" s="283">
        <v>0</v>
      </c>
      <c r="AC37" s="283">
        <v>0</v>
      </c>
      <c r="AD37" s="283">
        <v>0</v>
      </c>
      <c r="AE37" s="283">
        <v>0</v>
      </c>
      <c r="AF37" s="283">
        <v>0</v>
      </c>
    </row>
    <row r="38" spans="4:32" x14ac:dyDescent="0.3">
      <c r="D38" s="287">
        <v>-4.262064635259339E-2</v>
      </c>
      <c r="F38" s="286" cm="1">
        <f t="array" ref="F38">INDEX($D$2:$D$25, ROW()-ROW($F$31)+$K$1+1)</f>
        <v>0.50544548102013864</v>
      </c>
      <c r="G38" s="285" cm="1">
        <f t="array" ref="G38">INDEX($D$2:$D$25, ROW()-ROW($G$31) + COLUMN()-COLUMN($G$31)+1)</f>
        <v>0.14754279181357222</v>
      </c>
      <c r="H38" s="285" cm="1">
        <f t="array" ref="H38">INDEX($D$2:$D$25, ROW()-ROW($G$31) + COLUMN()-COLUMN($G$31)+1)</f>
        <v>0.10188155578965152</v>
      </c>
      <c r="I38" s="285" cm="1">
        <f t="array" ref="I38">INDEX($D$2:$D$25, ROW()-ROW($G$31) + COLUMN()-COLUMN($G$31)+1)</f>
        <v>-2.3654682936004923E-2</v>
      </c>
      <c r="J38" s="285" cm="1">
        <f t="array" ref="J38">INDEX($D$2:$D$25, ROW()-ROW($G$31) + COLUMN()-COLUMN($G$31)+1)</f>
        <v>-0.16439420676116467</v>
      </c>
      <c r="K38" s="285" cm="1">
        <f t="array" ref="K38">INDEX($D$2:$D$25, ROW()-ROW($G$31) + COLUMN()-COLUMN($G$31)+1)</f>
        <v>-0.23227562074778499</v>
      </c>
      <c r="L38" s="285" cm="1">
        <f t="array" ref="L38">INDEX($D$2:$D$25, ROW()-ROW($G$31) + COLUMN()-COLUMN($G$31)+1)</f>
        <v>-0.19498850236411205</v>
      </c>
      <c r="M38" s="285" cm="1">
        <f t="array" ref="M38">INDEX($D$2:$D$25, ROW()-ROW($G$31) + COLUMN()-COLUMN($G$31)+1)</f>
        <v>-4.4559229278070697E-2</v>
      </c>
      <c r="N38" s="285" cm="1">
        <f t="array" ref="N38">INDEX($D$2:$D$25, ROW()-ROW($G$31) + COLUMN()-COLUMN($G$31)+1)</f>
        <v>0.10321748548243581</v>
      </c>
      <c r="O38" s="285" cm="1">
        <f t="array" ref="O38">INDEX($D$2:$D$25, ROW()-ROW($G$31) + COLUMN()-COLUMN($G$31)+1)</f>
        <v>0.22213405380300993</v>
      </c>
      <c r="P38" s="285" cm="1">
        <f t="array" ref="P38">INDEX($D$2:$D$25, ROW()-ROW($G$31) + COLUMN()-COLUMN($G$31)+1)</f>
        <v>0.3200749800819026</v>
      </c>
      <c r="Q38" s="285" cm="1">
        <f t="array" ref="Q38">INDEX($D$2:$D$25, ROW()-ROW($G$31) + COLUMN()-COLUMN($G$31)+1)</f>
        <v>0.42185676979323672</v>
      </c>
      <c r="R38" s="285" cm="1">
        <f t="array" ref="R38">INDEX($D$2:$D$25, ROW()-ROW($G$31) + COLUMN()-COLUMN($G$31)+1)</f>
        <v>0.50833670054933167</v>
      </c>
      <c r="T38" s="283">
        <v>0</v>
      </c>
      <c r="U38" s="283">
        <v>0</v>
      </c>
      <c r="V38" s="283">
        <v>0</v>
      </c>
      <c r="W38" s="283">
        <v>0</v>
      </c>
      <c r="X38" s="283">
        <v>0</v>
      </c>
      <c r="Y38" s="283">
        <v>0</v>
      </c>
      <c r="Z38" s="283">
        <v>0</v>
      </c>
      <c r="AA38" s="284">
        <v>0.70513698040828843</v>
      </c>
      <c r="AB38" s="283">
        <v>0</v>
      </c>
      <c r="AC38" s="283">
        <v>0</v>
      </c>
      <c r="AD38" s="283">
        <v>0</v>
      </c>
      <c r="AE38" s="283">
        <v>0</v>
      </c>
      <c r="AF38" s="283">
        <v>0</v>
      </c>
    </row>
    <row r="39" spans="4:32" x14ac:dyDescent="0.3">
      <c r="D39" s="287">
        <v>0.37179685327140632</v>
      </c>
      <c r="F39" s="286" cm="1">
        <f t="array" ref="F39">INDEX($D$2:$D$25, ROW()-ROW($F$31)+$K$1+1)</f>
        <v>0.39113290805072887</v>
      </c>
      <c r="G39" s="285" cm="1">
        <f t="array" ref="G39">INDEX($D$2:$D$25, ROW()-ROW($G$31) + COLUMN()-COLUMN($G$31)+1)</f>
        <v>0.10188155578965152</v>
      </c>
      <c r="H39" s="285" cm="1">
        <f t="array" ref="H39">INDEX($D$2:$D$25, ROW()-ROW($G$31) + COLUMN()-COLUMN($G$31)+1)</f>
        <v>-2.3654682936004923E-2</v>
      </c>
      <c r="I39" s="285" cm="1">
        <f t="array" ref="I39">INDEX($D$2:$D$25, ROW()-ROW($G$31) + COLUMN()-COLUMN($G$31)+1)</f>
        <v>-0.16439420676116467</v>
      </c>
      <c r="J39" s="285" cm="1">
        <f t="array" ref="J39">INDEX($D$2:$D$25, ROW()-ROW($G$31) + COLUMN()-COLUMN($G$31)+1)</f>
        <v>-0.23227562074778499</v>
      </c>
      <c r="K39" s="285" cm="1">
        <f t="array" ref="K39">INDEX($D$2:$D$25, ROW()-ROW($G$31) + COLUMN()-COLUMN($G$31)+1)</f>
        <v>-0.19498850236411205</v>
      </c>
      <c r="L39" s="285" cm="1">
        <f t="array" ref="L39">INDEX($D$2:$D$25, ROW()-ROW($G$31) + COLUMN()-COLUMN($G$31)+1)</f>
        <v>-4.4559229278070697E-2</v>
      </c>
      <c r="M39" s="285" cm="1">
        <f t="array" ref="M39">INDEX($D$2:$D$25, ROW()-ROW($G$31) + COLUMN()-COLUMN($G$31)+1)</f>
        <v>0.10321748548243581</v>
      </c>
      <c r="N39" s="285" cm="1">
        <f t="array" ref="N39">INDEX($D$2:$D$25, ROW()-ROW($G$31) + COLUMN()-COLUMN($G$31)+1)</f>
        <v>0.22213405380300993</v>
      </c>
      <c r="O39" s="285" cm="1">
        <f t="array" ref="O39">INDEX($D$2:$D$25, ROW()-ROW($G$31) + COLUMN()-COLUMN($G$31)+1)</f>
        <v>0.3200749800819026</v>
      </c>
      <c r="P39" s="285" cm="1">
        <f t="array" ref="P39">INDEX($D$2:$D$25, ROW()-ROW($G$31) + COLUMN()-COLUMN($G$31)+1)</f>
        <v>0.42185676979323672</v>
      </c>
      <c r="Q39" s="285" cm="1">
        <f t="array" ref="Q39">INDEX($D$2:$D$25, ROW()-ROW($G$31) + COLUMN()-COLUMN($G$31)+1)</f>
        <v>0.50833670054933167</v>
      </c>
      <c r="R39" s="285" cm="1">
        <f t="array" ref="R39">INDEX($D$2:$D$25, ROW()-ROW($G$31) + COLUMN()-COLUMN($G$31)+1)</f>
        <v>0.50544548102013864</v>
      </c>
      <c r="T39" s="283">
        <v>0</v>
      </c>
      <c r="U39" s="283">
        <v>0</v>
      </c>
      <c r="V39" s="283">
        <v>0</v>
      </c>
      <c r="W39" s="283">
        <v>0</v>
      </c>
      <c r="X39" s="283">
        <v>0</v>
      </c>
      <c r="Y39" s="283">
        <v>0</v>
      </c>
      <c r="Z39" s="283">
        <v>0</v>
      </c>
      <c r="AA39" s="283">
        <v>0</v>
      </c>
      <c r="AB39" s="284">
        <v>0.58098862158702258</v>
      </c>
      <c r="AC39" s="283">
        <v>0</v>
      </c>
      <c r="AD39" s="283">
        <v>0</v>
      </c>
      <c r="AE39" s="283">
        <v>0</v>
      </c>
      <c r="AF39" s="283">
        <v>0</v>
      </c>
    </row>
    <row r="40" spans="4:32" x14ac:dyDescent="0.3">
      <c r="D40" s="287">
        <v>2.004463629492257E-2</v>
      </c>
      <c r="F40" s="286" cm="1">
        <f t="array" ref="F40">INDEX($D$2:$D$25, ROW()-ROW($F$31)+$K$1+1)</f>
        <v>0.19281585846169647</v>
      </c>
      <c r="G40" s="285" cm="1">
        <f t="array" ref="G40">INDEX($D$2:$D$25, ROW()-ROW($G$31) + COLUMN()-COLUMN($G$31)+1)</f>
        <v>-2.3654682936004923E-2</v>
      </c>
      <c r="H40" s="285" cm="1">
        <f t="array" ref="H40">INDEX($D$2:$D$25, ROW()-ROW($G$31) + COLUMN()-COLUMN($G$31)+1)</f>
        <v>-0.16439420676116467</v>
      </c>
      <c r="I40" s="285" cm="1">
        <f t="array" ref="I40">INDEX($D$2:$D$25, ROW()-ROW($G$31) + COLUMN()-COLUMN($G$31)+1)</f>
        <v>-0.23227562074778499</v>
      </c>
      <c r="J40" s="285" cm="1">
        <f t="array" ref="J40">INDEX($D$2:$D$25, ROW()-ROW($G$31) + COLUMN()-COLUMN($G$31)+1)</f>
        <v>-0.19498850236411205</v>
      </c>
      <c r="K40" s="285" cm="1">
        <f t="array" ref="K40">INDEX($D$2:$D$25, ROW()-ROW($G$31) + COLUMN()-COLUMN($G$31)+1)</f>
        <v>-4.4559229278070697E-2</v>
      </c>
      <c r="L40" s="285" cm="1">
        <f t="array" ref="L40">INDEX($D$2:$D$25, ROW()-ROW($G$31) + COLUMN()-COLUMN($G$31)+1)</f>
        <v>0.10321748548243581</v>
      </c>
      <c r="M40" s="285" cm="1">
        <f t="array" ref="M40">INDEX($D$2:$D$25, ROW()-ROW($G$31) + COLUMN()-COLUMN($G$31)+1)</f>
        <v>0.22213405380300993</v>
      </c>
      <c r="N40" s="285" cm="1">
        <f t="array" ref="N40">INDEX($D$2:$D$25, ROW()-ROW($G$31) + COLUMN()-COLUMN($G$31)+1)</f>
        <v>0.3200749800819026</v>
      </c>
      <c r="O40" s="285" cm="1">
        <f t="array" ref="O40">INDEX($D$2:$D$25, ROW()-ROW($G$31) + COLUMN()-COLUMN($G$31)+1)</f>
        <v>0.42185676979323672</v>
      </c>
      <c r="P40" s="285" cm="1">
        <f t="array" ref="P40">INDEX($D$2:$D$25, ROW()-ROW($G$31) + COLUMN()-COLUMN($G$31)+1)</f>
        <v>0.50833670054933167</v>
      </c>
      <c r="Q40" s="285" cm="1">
        <f t="array" ref="Q40">INDEX($D$2:$D$25, ROW()-ROW($G$31) + COLUMN()-COLUMN($G$31)+1)</f>
        <v>0.50544548102013864</v>
      </c>
      <c r="R40" s="285" cm="1">
        <f t="array" ref="R40">INDEX($D$2:$D$25, ROW()-ROW($G$31) + COLUMN()-COLUMN($G$31)+1)</f>
        <v>0.39113290805072887</v>
      </c>
      <c r="T40" s="283">
        <v>0</v>
      </c>
      <c r="U40" s="283">
        <v>0</v>
      </c>
      <c r="V40" s="283">
        <v>0</v>
      </c>
      <c r="W40" s="283">
        <v>0</v>
      </c>
      <c r="X40" s="283">
        <v>0</v>
      </c>
      <c r="Y40" s="283">
        <v>0</v>
      </c>
      <c r="Z40" s="283">
        <v>0</v>
      </c>
      <c r="AA40" s="283">
        <v>0</v>
      </c>
      <c r="AB40" s="283">
        <v>0</v>
      </c>
      <c r="AC40" s="284">
        <v>0.45502604223983856</v>
      </c>
      <c r="AD40" s="283">
        <v>0</v>
      </c>
      <c r="AE40" s="283">
        <v>0</v>
      </c>
      <c r="AF40" s="283">
        <v>0</v>
      </c>
    </row>
    <row r="41" spans="4:32" x14ac:dyDescent="0.3">
      <c r="D41" s="287">
        <v>0.1630420072130285</v>
      </c>
      <c r="F41" s="286" cm="1">
        <f t="array" ref="F41">INDEX($D$2:$D$25, ROW()-ROW($F$31)+$K$1+1)</f>
        <v>-1.8679982362733022E-3</v>
      </c>
      <c r="G41" s="285" cm="1">
        <f t="array" ref="G41">INDEX($D$2:$D$25, ROW()-ROW($G$31) + COLUMN()-COLUMN($G$31)+1)</f>
        <v>-0.16439420676116467</v>
      </c>
      <c r="H41" s="285" cm="1">
        <f t="array" ref="H41">INDEX($D$2:$D$25, ROW()-ROW($G$31) + COLUMN()-COLUMN($G$31)+1)</f>
        <v>-0.23227562074778499</v>
      </c>
      <c r="I41" s="285" cm="1">
        <f t="array" ref="I41">INDEX($D$2:$D$25, ROW()-ROW($G$31) + COLUMN()-COLUMN($G$31)+1)</f>
        <v>-0.19498850236411205</v>
      </c>
      <c r="J41" s="285" cm="1">
        <f t="array" ref="J41">INDEX($D$2:$D$25, ROW()-ROW($G$31) + COLUMN()-COLUMN($G$31)+1)</f>
        <v>-4.4559229278070697E-2</v>
      </c>
      <c r="K41" s="285" cm="1">
        <f t="array" ref="K41">INDEX($D$2:$D$25, ROW()-ROW($G$31) + COLUMN()-COLUMN($G$31)+1)</f>
        <v>0.10321748548243581</v>
      </c>
      <c r="L41" s="285" cm="1">
        <f t="array" ref="L41">INDEX($D$2:$D$25, ROW()-ROW($G$31) + COLUMN()-COLUMN($G$31)+1)</f>
        <v>0.22213405380300993</v>
      </c>
      <c r="M41" s="285" cm="1">
        <f t="array" ref="M41">INDEX($D$2:$D$25, ROW()-ROW($G$31) + COLUMN()-COLUMN($G$31)+1)</f>
        <v>0.3200749800819026</v>
      </c>
      <c r="N41" s="285" cm="1">
        <f t="array" ref="N41">INDEX($D$2:$D$25, ROW()-ROW($G$31) + COLUMN()-COLUMN($G$31)+1)</f>
        <v>0.42185676979323672</v>
      </c>
      <c r="O41" s="285" cm="1">
        <f t="array" ref="O41">INDEX($D$2:$D$25, ROW()-ROW($G$31) + COLUMN()-COLUMN($G$31)+1)</f>
        <v>0.50833670054933167</v>
      </c>
      <c r="P41" s="285" cm="1">
        <f t="array" ref="P41">INDEX($D$2:$D$25, ROW()-ROW($G$31) + COLUMN()-COLUMN($G$31)+1)</f>
        <v>0.50544548102013864</v>
      </c>
      <c r="Q41" s="285" cm="1">
        <f t="array" ref="Q41">INDEX($D$2:$D$25, ROW()-ROW($G$31) + COLUMN()-COLUMN($G$31)+1)</f>
        <v>0.39113290805072887</v>
      </c>
      <c r="R41" s="285" cm="1">
        <f t="array" ref="R41">INDEX($D$2:$D$25, ROW()-ROW($G$31) + COLUMN()-COLUMN($G$31)+1)</f>
        <v>0.19281585846169647</v>
      </c>
      <c r="T41" s="283">
        <v>0</v>
      </c>
      <c r="U41" s="283">
        <v>0</v>
      </c>
      <c r="V41" s="283">
        <v>0</v>
      </c>
      <c r="W41" s="283">
        <v>0</v>
      </c>
      <c r="X41" s="283">
        <v>0</v>
      </c>
      <c r="Y41" s="283">
        <v>0</v>
      </c>
      <c r="Z41" s="283">
        <v>0</v>
      </c>
      <c r="AA41" s="283">
        <v>0</v>
      </c>
      <c r="AB41" s="283">
        <v>0</v>
      </c>
      <c r="AC41" s="283">
        <v>0</v>
      </c>
      <c r="AD41" s="284">
        <v>0.35177254669005742</v>
      </c>
      <c r="AE41" s="283">
        <v>0</v>
      </c>
      <c r="AF41" s="283">
        <v>0</v>
      </c>
    </row>
    <row r="42" spans="4:32" x14ac:dyDescent="0.3">
      <c r="D42" s="287">
        <v>-0.14045686655774628</v>
      </c>
      <c r="F42" s="286" cm="1">
        <f t="array" ref="F42">INDEX($D$2:$D$25, ROW()-ROW($F$31)+$K$1+1)</f>
        <v>-0.14238819822032237</v>
      </c>
      <c r="G42" s="285" cm="1">
        <f t="array" ref="G42">INDEX($D$2:$D$25, ROW()-ROW($G$31) + COLUMN()-COLUMN($G$31)+1)</f>
        <v>-0.23227562074778499</v>
      </c>
      <c r="H42" s="285" cm="1">
        <f t="array" ref="H42">INDEX($D$2:$D$25, ROW()-ROW($G$31) + COLUMN()-COLUMN($G$31)+1)</f>
        <v>-0.19498850236411205</v>
      </c>
      <c r="I42" s="285" cm="1">
        <f t="array" ref="I42">INDEX($D$2:$D$25, ROW()-ROW($G$31) + COLUMN()-COLUMN($G$31)+1)</f>
        <v>-4.4559229278070697E-2</v>
      </c>
      <c r="J42" s="285" cm="1">
        <f t="array" ref="J42">INDEX($D$2:$D$25, ROW()-ROW($G$31) + COLUMN()-COLUMN($G$31)+1)</f>
        <v>0.10321748548243581</v>
      </c>
      <c r="K42" s="285" cm="1">
        <f t="array" ref="K42">INDEX($D$2:$D$25, ROW()-ROW($G$31) + COLUMN()-COLUMN($G$31)+1)</f>
        <v>0.22213405380300993</v>
      </c>
      <c r="L42" s="285" cm="1">
        <f t="array" ref="L42">INDEX($D$2:$D$25, ROW()-ROW($G$31) + COLUMN()-COLUMN($G$31)+1)</f>
        <v>0.3200749800819026</v>
      </c>
      <c r="M42" s="285" cm="1">
        <f t="array" ref="M42">INDEX($D$2:$D$25, ROW()-ROW($G$31) + COLUMN()-COLUMN($G$31)+1)</f>
        <v>0.42185676979323672</v>
      </c>
      <c r="N42" s="285" cm="1">
        <f t="array" ref="N42">INDEX($D$2:$D$25, ROW()-ROW($G$31) + COLUMN()-COLUMN($G$31)+1)</f>
        <v>0.50833670054933167</v>
      </c>
      <c r="O42" s="285" cm="1">
        <f t="array" ref="O42">INDEX($D$2:$D$25, ROW()-ROW($G$31) + COLUMN()-COLUMN($G$31)+1)</f>
        <v>0.50544548102013864</v>
      </c>
      <c r="P42" s="285" cm="1">
        <f t="array" ref="P42">INDEX($D$2:$D$25, ROW()-ROW($G$31) + COLUMN()-COLUMN($G$31)+1)</f>
        <v>0.39113290805072887</v>
      </c>
      <c r="Q42" s="285" cm="1">
        <f t="array" ref="Q42">INDEX($D$2:$D$25, ROW()-ROW($G$31) + COLUMN()-COLUMN($G$31)+1)</f>
        <v>0.19281585846169647</v>
      </c>
      <c r="R42" s="285" cm="1">
        <f t="array" ref="R42">INDEX($D$2:$D$25, ROW()-ROW($G$31) + COLUMN()-COLUMN($G$31)+1)</f>
        <v>-1.8679982362733022E-3</v>
      </c>
      <c r="T42" s="283">
        <v>0</v>
      </c>
      <c r="U42" s="283">
        <v>0</v>
      </c>
      <c r="V42" s="283">
        <v>0</v>
      </c>
      <c r="W42" s="283">
        <v>0</v>
      </c>
      <c r="X42" s="283">
        <v>0</v>
      </c>
      <c r="Y42" s="283">
        <v>0</v>
      </c>
      <c r="Z42" s="283">
        <v>0</v>
      </c>
      <c r="AA42" s="283">
        <v>0</v>
      </c>
      <c r="AB42" s="283">
        <v>0</v>
      </c>
      <c r="AC42" s="283">
        <v>0</v>
      </c>
      <c r="AD42" s="283">
        <v>0</v>
      </c>
      <c r="AE42" s="284">
        <v>5.6175389139515933E-2</v>
      </c>
      <c r="AF42" s="283">
        <v>0</v>
      </c>
    </row>
    <row r="43" spans="4:32" x14ac:dyDescent="0.3">
      <c r="D43" s="282">
        <v>0</v>
      </c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301E9-81B2-4BAA-8D7E-EC62A9E8A2E8}">
  <dimension ref="A1:R26"/>
  <sheetViews>
    <sheetView workbookViewId="0">
      <selection activeCell="Y31" sqref="Y31"/>
    </sheetView>
  </sheetViews>
  <sheetFormatPr defaultRowHeight="14.4" x14ac:dyDescent="0.3"/>
  <cols>
    <col min="3" max="3" width="10.109375" customWidth="1"/>
    <col min="5" max="5" width="4.5546875" customWidth="1"/>
  </cols>
  <sheetData>
    <row r="1" spans="1:18" x14ac:dyDescent="0.3">
      <c r="A1" t="s">
        <v>493</v>
      </c>
      <c r="C1" t="s">
        <v>491</v>
      </c>
      <c r="F1" t="s">
        <v>494</v>
      </c>
      <c r="H1" s="297" t="s">
        <v>488</v>
      </c>
      <c r="I1" s="296">
        <f>COUNT(C2:C25)</f>
        <v>24</v>
      </c>
      <c r="J1" s="297" t="s">
        <v>487</v>
      </c>
      <c r="K1" s="296">
        <v>12</v>
      </c>
      <c r="L1" s="297" t="s">
        <v>486</v>
      </c>
      <c r="M1" s="296">
        <f>I1-K1+1</f>
        <v>13</v>
      </c>
    </row>
    <row r="2" spans="1:18" x14ac:dyDescent="0.3">
      <c r="A2" vm="1">
        <v>201.08</v>
      </c>
      <c r="C2" s="21">
        <f t="shared" ref="C2:C25" si="0">(A2-AVERAGE($A$2:$A$25))/_xlfn.STDEV.S($A$2:$A$25)</f>
        <v>-3.0317408288182253</v>
      </c>
      <c r="F2" s="21" cm="1">
        <f t="array" ref="F2">INDEX($C$2:$C$25, ROW()-ROW($F$2)+1 + COLUMN()-COLUMN($F$2))</f>
        <v>-3.0317408288182253</v>
      </c>
      <c r="G2" s="21" cm="1">
        <f t="array" ref="G2">INDEX($C$2:$C$25, ROW()-ROW($F$2)+1 + COLUMN()-COLUMN($F$2))</f>
        <v>-1.72940972839901</v>
      </c>
      <c r="H2" s="21" cm="1">
        <f t="array" ref="H2">INDEX($C$2:$C$25, ROW()-ROW($F$2)+1 + COLUMN()-COLUMN($F$2))</f>
        <v>-0.88560106920317883</v>
      </c>
      <c r="I2" s="21" cm="1">
        <f t="array" ref="I2">INDEX($C$2:$C$25, ROW()-ROW($F$2)+1 + COLUMN()-COLUMN($F$2))</f>
        <v>0.58549176305521167</v>
      </c>
      <c r="J2" s="21" cm="1">
        <f t="array" ref="J2">INDEX($C$2:$C$25, ROW()-ROW($F$2)+1 + COLUMN()-COLUMN($F$2))</f>
        <v>0.93893614483158216</v>
      </c>
      <c r="K2" s="21" cm="1">
        <f t="array" ref="K2">INDEX($C$2:$C$25, ROW()-ROW($F$2)+1 + COLUMN()-COLUMN($F$2))</f>
        <v>-0.20736995822691004</v>
      </c>
      <c r="L2" s="21" cm="1">
        <f t="array" ref="L2">INDEX($C$2:$C$25, ROW()-ROW($F$2)+1 + COLUMN()-COLUMN($F$2))</f>
        <v>-0.18826485650926789</v>
      </c>
      <c r="M2" s="21" cm="1">
        <f t="array" ref="M2">INDEX($C$2:$C$25, ROW()-ROW($F$2)+1 + COLUMN()-COLUMN($F$2))</f>
        <v>0.17154789250631067</v>
      </c>
      <c r="N2" s="21" cm="1">
        <f t="array" ref="N2">INDEX($C$2:$C$25, ROW()-ROW($F$2)+1 + COLUMN()-COLUMN($F$2))</f>
        <v>0.57593921219639055</v>
      </c>
      <c r="O2" s="21" cm="1">
        <f t="array" ref="O2">INDEX($C$2:$C$25, ROW()-ROW($F$2)+1 + COLUMN()-COLUMN($F$2))</f>
        <v>0.17791625974552772</v>
      </c>
      <c r="P2" s="21" cm="1">
        <f t="array" ref="P2">INDEX($C$2:$C$25, ROW()-ROW($F$2)+1 + COLUMN()-COLUMN($F$2))</f>
        <v>-0.630866379634623</v>
      </c>
      <c r="Q2" s="21" cm="1">
        <f t="array" ref="Q2">INDEX($C$2:$C$25, ROW()-ROW($F$2)+1 + COLUMN()-COLUMN($F$2))</f>
        <v>-0.4748413822738819</v>
      </c>
      <c r="R2" s="21" cm="1">
        <f t="array" ref="R2">INDEX($C$2:$C$25, ROW()-ROW($F$2)+1 + COLUMN()-COLUMN($F$2))</f>
        <v>-0.14050210221516254</v>
      </c>
    </row>
    <row r="3" spans="1:18" x14ac:dyDescent="0.3">
      <c r="A3" vm="2">
        <v>205.17</v>
      </c>
      <c r="C3" s="21">
        <f t="shared" si="0"/>
        <v>-1.72940972839901</v>
      </c>
      <c r="F3" s="21" cm="1">
        <f t="array" ref="F3">INDEX($C$2:$C$25, ROW()-ROW($F$2)+1 + COLUMN()-COLUMN($F$2))</f>
        <v>-1.72940972839901</v>
      </c>
      <c r="G3" s="21" cm="1">
        <f t="array" ref="G3">INDEX($C$2:$C$25, ROW()-ROW($F$2)+1 + COLUMN()-COLUMN($F$2))</f>
        <v>-0.88560106920317883</v>
      </c>
      <c r="H3" s="21" cm="1">
        <f t="array" ref="H3">INDEX($C$2:$C$25, ROW()-ROW($F$2)+1 + COLUMN()-COLUMN($F$2))</f>
        <v>0.58549176305521167</v>
      </c>
      <c r="I3" s="21" cm="1">
        <f t="array" ref="I3">INDEX($C$2:$C$25, ROW()-ROW($F$2)+1 + COLUMN()-COLUMN($F$2))</f>
        <v>0.93893614483158216</v>
      </c>
      <c r="J3" s="21" cm="1">
        <f t="array" ref="J3">INDEX($C$2:$C$25, ROW()-ROW($F$2)+1 + COLUMN()-COLUMN($F$2))</f>
        <v>-0.20736995822691004</v>
      </c>
      <c r="K3" s="21" cm="1">
        <f t="array" ref="K3">INDEX($C$2:$C$25, ROW()-ROW($F$2)+1 + COLUMN()-COLUMN($F$2))</f>
        <v>-0.18826485650926789</v>
      </c>
      <c r="L3" s="21" cm="1">
        <f t="array" ref="L3">INDEX($C$2:$C$25, ROW()-ROW($F$2)+1 + COLUMN()-COLUMN($F$2))</f>
        <v>0.17154789250631067</v>
      </c>
      <c r="M3" s="21" cm="1">
        <f t="array" ref="M3">INDEX($C$2:$C$25, ROW()-ROW($F$2)+1 + COLUMN()-COLUMN($F$2))</f>
        <v>0.57593921219639055</v>
      </c>
      <c r="N3" s="21" cm="1">
        <f t="array" ref="N3">INDEX($C$2:$C$25, ROW()-ROW($F$2)+1 + COLUMN()-COLUMN($F$2))</f>
        <v>0.17791625974552772</v>
      </c>
      <c r="O3" s="21" cm="1">
        <f t="array" ref="O3">INDEX($C$2:$C$25, ROW()-ROW($F$2)+1 + COLUMN()-COLUMN($F$2))</f>
        <v>-0.630866379634623</v>
      </c>
      <c r="P3" s="21" cm="1">
        <f t="array" ref="P3">INDEX($C$2:$C$25, ROW()-ROW($F$2)+1 + COLUMN()-COLUMN($F$2))</f>
        <v>-0.4748413822738819</v>
      </c>
      <c r="Q3" s="21" cm="1">
        <f t="array" ref="Q3">INDEX($C$2:$C$25, ROW()-ROW($F$2)+1 + COLUMN()-COLUMN($F$2))</f>
        <v>-0.14050210221516254</v>
      </c>
      <c r="R3" s="21" cm="1">
        <f t="array" ref="R3">INDEX($C$2:$C$25, ROW()-ROW($F$2)+1 + COLUMN()-COLUMN($F$2))</f>
        <v>-0.18508067288965485</v>
      </c>
    </row>
    <row r="4" spans="1:18" x14ac:dyDescent="0.3">
      <c r="A4" vm="3">
        <v>207.82</v>
      </c>
      <c r="C4" s="21">
        <f t="shared" si="0"/>
        <v>-0.88560106920317883</v>
      </c>
      <c r="F4" s="21" cm="1">
        <f t="array" ref="F4">INDEX($C$2:$C$25, ROW()-ROW($F$2)+1 + COLUMN()-COLUMN($F$2))</f>
        <v>-0.88560106920317883</v>
      </c>
      <c r="G4" s="21" cm="1">
        <f t="array" ref="G4">INDEX($C$2:$C$25, ROW()-ROW($F$2)+1 + COLUMN()-COLUMN($F$2))</f>
        <v>0.58549176305521167</v>
      </c>
      <c r="H4" s="21" cm="1">
        <f t="array" ref="H4">INDEX($C$2:$C$25, ROW()-ROW($F$2)+1 + COLUMN()-COLUMN($F$2))</f>
        <v>0.93893614483158216</v>
      </c>
      <c r="I4" s="21" cm="1">
        <f t="array" ref="I4">INDEX($C$2:$C$25, ROW()-ROW($F$2)+1 + COLUMN()-COLUMN($F$2))</f>
        <v>-0.20736995822691004</v>
      </c>
      <c r="J4" s="21" cm="1">
        <f t="array" ref="J4">INDEX($C$2:$C$25, ROW()-ROW($F$2)+1 + COLUMN()-COLUMN($F$2))</f>
        <v>-0.18826485650926789</v>
      </c>
      <c r="K4" s="21" cm="1">
        <f t="array" ref="K4">INDEX($C$2:$C$25, ROW()-ROW($F$2)+1 + COLUMN()-COLUMN($F$2))</f>
        <v>0.17154789250631067</v>
      </c>
      <c r="L4" s="21" cm="1">
        <f t="array" ref="L4">INDEX($C$2:$C$25, ROW()-ROW($F$2)+1 + COLUMN()-COLUMN($F$2))</f>
        <v>0.57593921219639055</v>
      </c>
      <c r="M4" s="21" cm="1">
        <f t="array" ref="M4">INDEX($C$2:$C$25, ROW()-ROW($F$2)+1 + COLUMN()-COLUMN($F$2))</f>
        <v>0.17791625974552772</v>
      </c>
      <c r="N4" s="21" cm="1">
        <f t="array" ref="N4">INDEX($C$2:$C$25, ROW()-ROW($F$2)+1 + COLUMN()-COLUMN($F$2))</f>
        <v>-0.630866379634623</v>
      </c>
      <c r="O4" s="21" cm="1">
        <f t="array" ref="O4">INDEX($C$2:$C$25, ROW()-ROW($F$2)+1 + COLUMN()-COLUMN($F$2))</f>
        <v>-0.4748413822738819</v>
      </c>
      <c r="P4" s="21" cm="1">
        <f t="array" ref="P4">INDEX($C$2:$C$25, ROW()-ROW($F$2)+1 + COLUMN()-COLUMN($F$2))</f>
        <v>-0.14050210221516254</v>
      </c>
      <c r="Q4" s="21" cm="1">
        <f t="array" ref="Q4">INDEX($C$2:$C$25, ROW()-ROW($F$2)+1 + COLUMN()-COLUMN($F$2))</f>
        <v>-0.18508067288965485</v>
      </c>
      <c r="R4" s="21" cm="1">
        <f t="array" ref="R4">INDEX($C$2:$C$25, ROW()-ROW($F$2)+1 + COLUMN()-COLUMN($F$2))</f>
        <v>0.18428462698474479</v>
      </c>
    </row>
    <row r="5" spans="1:18" x14ac:dyDescent="0.3">
      <c r="A5" vm="4">
        <v>212.44</v>
      </c>
      <c r="C5" s="21">
        <f t="shared" si="0"/>
        <v>0.58549176305521167</v>
      </c>
      <c r="F5" s="21" cm="1">
        <f t="array" ref="F5">INDEX($C$2:$C$25, ROW()-ROW($F$2)+1 + COLUMN()-COLUMN($F$2))</f>
        <v>0.58549176305521167</v>
      </c>
      <c r="G5" s="21" cm="1">
        <f t="array" ref="G5">INDEX($C$2:$C$25, ROW()-ROW($F$2)+1 + COLUMN()-COLUMN($F$2))</f>
        <v>0.93893614483158216</v>
      </c>
      <c r="H5" s="21" cm="1">
        <f t="array" ref="H5">INDEX($C$2:$C$25, ROW()-ROW($F$2)+1 + COLUMN()-COLUMN($F$2))</f>
        <v>-0.20736995822691004</v>
      </c>
      <c r="I5" s="21" cm="1">
        <f t="array" ref="I5">INDEX($C$2:$C$25, ROW()-ROW($F$2)+1 + COLUMN()-COLUMN($F$2))</f>
        <v>-0.18826485650926789</v>
      </c>
      <c r="J5" s="21" cm="1">
        <f t="array" ref="J5">INDEX($C$2:$C$25, ROW()-ROW($F$2)+1 + COLUMN()-COLUMN($F$2))</f>
        <v>0.17154789250631067</v>
      </c>
      <c r="K5" s="21" cm="1">
        <f t="array" ref="K5">INDEX($C$2:$C$25, ROW()-ROW($F$2)+1 + COLUMN()-COLUMN($F$2))</f>
        <v>0.57593921219639055</v>
      </c>
      <c r="L5" s="21" cm="1">
        <f t="array" ref="L5">INDEX($C$2:$C$25, ROW()-ROW($F$2)+1 + COLUMN()-COLUMN($F$2))</f>
        <v>0.17791625974552772</v>
      </c>
      <c r="M5" s="21" cm="1">
        <f t="array" ref="M5">INDEX($C$2:$C$25, ROW()-ROW($F$2)+1 + COLUMN()-COLUMN($F$2))</f>
        <v>-0.630866379634623</v>
      </c>
      <c r="N5" s="21" cm="1">
        <f t="array" ref="N5">INDEX($C$2:$C$25, ROW()-ROW($F$2)+1 + COLUMN()-COLUMN($F$2))</f>
        <v>-0.4748413822738819</v>
      </c>
      <c r="O5" s="21" cm="1">
        <f t="array" ref="O5">INDEX($C$2:$C$25, ROW()-ROW($F$2)+1 + COLUMN()-COLUMN($F$2))</f>
        <v>-0.14050210221516254</v>
      </c>
      <c r="P5" s="21" cm="1">
        <f t="array" ref="P5">INDEX($C$2:$C$25, ROW()-ROW($F$2)+1 + COLUMN()-COLUMN($F$2))</f>
        <v>-0.18508067288965485</v>
      </c>
      <c r="Q5" s="21" cm="1">
        <f t="array" ref="Q5">INDEX($C$2:$C$25, ROW()-ROW($F$2)+1 + COLUMN()-COLUMN($F$2))</f>
        <v>0.18428462698474479</v>
      </c>
      <c r="R5" s="21" cm="1">
        <f t="array" ref="R5">INDEX($C$2:$C$25, ROW()-ROW($F$2)+1 + COLUMN()-COLUMN($F$2))</f>
        <v>0.59822849753363672</v>
      </c>
    </row>
    <row r="6" spans="1:18" x14ac:dyDescent="0.3">
      <c r="A6" vm="5">
        <v>213.55</v>
      </c>
      <c r="C6" s="21">
        <f t="shared" si="0"/>
        <v>0.93893614483158216</v>
      </c>
      <c r="F6" s="21" cm="1">
        <f t="array" ref="F6">INDEX($C$2:$C$25, ROW()-ROW($F$2)+1 + COLUMN()-COLUMN($F$2))</f>
        <v>0.93893614483158216</v>
      </c>
      <c r="G6" s="21" cm="1">
        <f t="array" ref="G6">INDEX($C$2:$C$25, ROW()-ROW($F$2)+1 + COLUMN()-COLUMN($F$2))</f>
        <v>-0.20736995822691004</v>
      </c>
      <c r="H6" s="21" cm="1">
        <f t="array" ref="H6">INDEX($C$2:$C$25, ROW()-ROW($F$2)+1 + COLUMN()-COLUMN($F$2))</f>
        <v>-0.18826485650926789</v>
      </c>
      <c r="I6" s="21" cm="1">
        <f t="array" ref="I6">INDEX($C$2:$C$25, ROW()-ROW($F$2)+1 + COLUMN()-COLUMN($F$2))</f>
        <v>0.17154789250631067</v>
      </c>
      <c r="J6" s="21" cm="1">
        <f t="array" ref="J6">INDEX($C$2:$C$25, ROW()-ROW($F$2)+1 + COLUMN()-COLUMN($F$2))</f>
        <v>0.57593921219639055</v>
      </c>
      <c r="K6" s="21" cm="1">
        <f t="array" ref="K6">INDEX($C$2:$C$25, ROW()-ROW($F$2)+1 + COLUMN()-COLUMN($F$2))</f>
        <v>0.17791625974552772</v>
      </c>
      <c r="L6" s="21" cm="1">
        <f t="array" ref="L6">INDEX($C$2:$C$25, ROW()-ROW($F$2)+1 + COLUMN()-COLUMN($F$2))</f>
        <v>-0.630866379634623</v>
      </c>
      <c r="M6" s="21" cm="1">
        <f t="array" ref="M6">INDEX($C$2:$C$25, ROW()-ROW($F$2)+1 + COLUMN()-COLUMN($F$2))</f>
        <v>-0.4748413822738819</v>
      </c>
      <c r="N6" s="21" cm="1">
        <f t="array" ref="N6">INDEX($C$2:$C$25, ROW()-ROW($F$2)+1 + COLUMN()-COLUMN($F$2))</f>
        <v>-0.14050210221516254</v>
      </c>
      <c r="O6" s="21" cm="1">
        <f t="array" ref="O6">INDEX($C$2:$C$25, ROW()-ROW($F$2)+1 + COLUMN()-COLUMN($F$2))</f>
        <v>-0.18508067288965485</v>
      </c>
      <c r="P6" s="21" cm="1">
        <f t="array" ref="P6">INDEX($C$2:$C$25, ROW()-ROW($F$2)+1 + COLUMN()-COLUMN($F$2))</f>
        <v>0.18428462698474479</v>
      </c>
      <c r="Q6" s="21" cm="1">
        <f t="array" ref="Q6">INDEX($C$2:$C$25, ROW()-ROW($F$2)+1 + COLUMN()-COLUMN($F$2))</f>
        <v>0.59822849753363672</v>
      </c>
      <c r="R6" s="21" cm="1">
        <f t="array" ref="R6">INDEX($C$2:$C$25, ROW()-ROW($F$2)+1 + COLUMN()-COLUMN($F$2))</f>
        <v>1.2095917524981672</v>
      </c>
    </row>
    <row r="7" spans="1:18" x14ac:dyDescent="0.3">
      <c r="A7" vm="6">
        <v>209.95</v>
      </c>
      <c r="C7" s="21">
        <f t="shared" si="0"/>
        <v>-0.20736995822691004</v>
      </c>
      <c r="F7" s="21" cm="1">
        <f t="array" ref="F7">INDEX($C$2:$C$25, ROW()-ROW($F$2)+1 + COLUMN()-COLUMN($F$2))</f>
        <v>-0.20736995822691004</v>
      </c>
      <c r="G7" s="21" cm="1">
        <f t="array" ref="G7">INDEX($C$2:$C$25, ROW()-ROW($F$2)+1 + COLUMN()-COLUMN($F$2))</f>
        <v>-0.18826485650926789</v>
      </c>
      <c r="H7" s="21" cm="1">
        <f t="array" ref="H7">INDEX($C$2:$C$25, ROW()-ROW($F$2)+1 + COLUMN()-COLUMN($F$2))</f>
        <v>0.17154789250631067</v>
      </c>
      <c r="I7" s="21" cm="1">
        <f t="array" ref="I7">INDEX($C$2:$C$25, ROW()-ROW($F$2)+1 + COLUMN()-COLUMN($F$2))</f>
        <v>0.57593921219639055</v>
      </c>
      <c r="J7" s="21" cm="1">
        <f t="array" ref="J7">INDEX($C$2:$C$25, ROW()-ROW($F$2)+1 + COLUMN()-COLUMN($F$2))</f>
        <v>0.17791625974552772</v>
      </c>
      <c r="K7" s="21" cm="1">
        <f t="array" ref="K7">INDEX($C$2:$C$25, ROW()-ROW($F$2)+1 + COLUMN()-COLUMN($F$2))</f>
        <v>-0.630866379634623</v>
      </c>
      <c r="L7" s="21" cm="1">
        <f t="array" ref="L7">INDEX($C$2:$C$25, ROW()-ROW($F$2)+1 + COLUMN()-COLUMN($F$2))</f>
        <v>-0.4748413822738819</v>
      </c>
      <c r="M7" s="21" cm="1">
        <f t="array" ref="M7">INDEX($C$2:$C$25, ROW()-ROW($F$2)+1 + COLUMN()-COLUMN($F$2))</f>
        <v>-0.14050210221516254</v>
      </c>
      <c r="N7" s="21" cm="1">
        <f t="array" ref="N7">INDEX($C$2:$C$25, ROW()-ROW($F$2)+1 + COLUMN()-COLUMN($F$2))</f>
        <v>-0.18508067288965485</v>
      </c>
      <c r="O7" s="21" cm="1">
        <f t="array" ref="O7">INDEX($C$2:$C$25, ROW()-ROW($F$2)+1 + COLUMN()-COLUMN($F$2))</f>
        <v>0.18428462698474479</v>
      </c>
      <c r="P7" s="21" cm="1">
        <f t="array" ref="P7">INDEX($C$2:$C$25, ROW()-ROW($F$2)+1 + COLUMN()-COLUMN($F$2))</f>
        <v>0.59822849753363672</v>
      </c>
      <c r="Q7" s="21" cm="1">
        <f t="array" ref="Q7">INDEX($C$2:$C$25, ROW()-ROW($F$2)+1 + COLUMN()-COLUMN($F$2))</f>
        <v>1.2095917524981672</v>
      </c>
      <c r="R7" s="21" cm="1">
        <f t="array" ref="R7">INDEX($C$2:$C$25, ROW()-ROW($F$2)+1 + COLUMN()-COLUMN($F$2))</f>
        <v>1.1299871620079944</v>
      </c>
    </row>
    <row r="8" spans="1:18" x14ac:dyDescent="0.3">
      <c r="A8" vm="7">
        <v>210.01</v>
      </c>
      <c r="C8" s="21">
        <f t="shared" si="0"/>
        <v>-0.18826485650926789</v>
      </c>
      <c r="F8" s="21" cm="1">
        <f t="array" ref="F8">INDEX($C$2:$C$25, ROW()-ROW($F$2)+1 + COLUMN()-COLUMN($F$2))</f>
        <v>-0.18826485650926789</v>
      </c>
      <c r="G8" s="21" cm="1">
        <f t="array" ref="G8">INDEX($C$2:$C$25, ROW()-ROW($F$2)+1 + COLUMN()-COLUMN($F$2))</f>
        <v>0.17154789250631067</v>
      </c>
      <c r="H8" s="21" cm="1">
        <f t="array" ref="H8">INDEX($C$2:$C$25, ROW()-ROW($F$2)+1 + COLUMN()-COLUMN($F$2))</f>
        <v>0.57593921219639055</v>
      </c>
      <c r="I8" s="21" cm="1">
        <f t="array" ref="I8">INDEX($C$2:$C$25, ROW()-ROW($F$2)+1 + COLUMN()-COLUMN($F$2))</f>
        <v>0.17791625974552772</v>
      </c>
      <c r="J8" s="21" cm="1">
        <f t="array" ref="J8">INDEX($C$2:$C$25, ROW()-ROW($F$2)+1 + COLUMN()-COLUMN($F$2))</f>
        <v>-0.630866379634623</v>
      </c>
      <c r="K8" s="21" cm="1">
        <f t="array" ref="K8">INDEX($C$2:$C$25, ROW()-ROW($F$2)+1 + COLUMN()-COLUMN($F$2))</f>
        <v>-0.4748413822738819</v>
      </c>
      <c r="L8" s="21" cm="1">
        <f t="array" ref="L8">INDEX($C$2:$C$25, ROW()-ROW($F$2)+1 + COLUMN()-COLUMN($F$2))</f>
        <v>-0.14050210221516254</v>
      </c>
      <c r="M8" s="21" cm="1">
        <f t="array" ref="M8">INDEX($C$2:$C$25, ROW()-ROW($F$2)+1 + COLUMN()-COLUMN($F$2))</f>
        <v>-0.18508067288965485</v>
      </c>
      <c r="N8" s="21" cm="1">
        <f t="array" ref="N8">INDEX($C$2:$C$25, ROW()-ROW($F$2)+1 + COLUMN()-COLUMN($F$2))</f>
        <v>0.18428462698474479</v>
      </c>
      <c r="O8" s="21" cm="1">
        <f t="array" ref="O8">INDEX($C$2:$C$25, ROW()-ROW($F$2)+1 + COLUMN()-COLUMN($F$2))</f>
        <v>0.59822849753363672</v>
      </c>
      <c r="P8" s="21" cm="1">
        <f t="array" ref="P8">INDEX($C$2:$C$25, ROW()-ROW($F$2)+1 + COLUMN()-COLUMN($F$2))</f>
        <v>1.2095917524981672</v>
      </c>
      <c r="Q8" s="21" cm="1">
        <f t="array" ref="Q8">INDEX($C$2:$C$25, ROW()-ROW($F$2)+1 + COLUMN()-COLUMN($F$2))</f>
        <v>1.1299871620079944</v>
      </c>
      <c r="R8" s="21" cm="1">
        <f t="array" ref="R8">INDEX($C$2:$C$25, ROW()-ROW($F$2)+1 + COLUMN()-COLUMN($F$2))</f>
        <v>1.0058040008433207</v>
      </c>
    </row>
    <row r="9" spans="1:18" x14ac:dyDescent="0.3">
      <c r="A9" vm="8">
        <v>211.14</v>
      </c>
      <c r="C9" s="21">
        <f t="shared" si="0"/>
        <v>0.17154789250631067</v>
      </c>
      <c r="F9" s="21" cm="1">
        <f t="array" ref="F9">INDEX($C$2:$C$25, ROW()-ROW($F$2)+1 + COLUMN()-COLUMN($F$2))</f>
        <v>0.17154789250631067</v>
      </c>
      <c r="G9" s="21" cm="1">
        <f t="array" ref="G9">INDEX($C$2:$C$25, ROW()-ROW($F$2)+1 + COLUMN()-COLUMN($F$2))</f>
        <v>0.57593921219639055</v>
      </c>
      <c r="H9" s="21" cm="1">
        <f t="array" ref="H9">INDEX($C$2:$C$25, ROW()-ROW($F$2)+1 + COLUMN()-COLUMN($F$2))</f>
        <v>0.17791625974552772</v>
      </c>
      <c r="I9" s="21" cm="1">
        <f t="array" ref="I9">INDEX($C$2:$C$25, ROW()-ROW($F$2)+1 + COLUMN()-COLUMN($F$2))</f>
        <v>-0.630866379634623</v>
      </c>
      <c r="J9" s="21" cm="1">
        <f t="array" ref="J9">INDEX($C$2:$C$25, ROW()-ROW($F$2)+1 + COLUMN()-COLUMN($F$2))</f>
        <v>-0.4748413822738819</v>
      </c>
      <c r="K9" s="21" cm="1">
        <f t="array" ref="K9">INDEX($C$2:$C$25, ROW()-ROW($F$2)+1 + COLUMN()-COLUMN($F$2))</f>
        <v>-0.14050210221516254</v>
      </c>
      <c r="L9" s="21" cm="1">
        <f t="array" ref="L9">INDEX($C$2:$C$25, ROW()-ROW($F$2)+1 + COLUMN()-COLUMN($F$2))</f>
        <v>-0.18508067288965485</v>
      </c>
      <c r="M9" s="21" cm="1">
        <f t="array" ref="M9">INDEX($C$2:$C$25, ROW()-ROW($F$2)+1 + COLUMN()-COLUMN($F$2))</f>
        <v>0.18428462698474479</v>
      </c>
      <c r="N9" s="21" cm="1">
        <f t="array" ref="N9">INDEX($C$2:$C$25, ROW()-ROW($F$2)+1 + COLUMN()-COLUMN($F$2))</f>
        <v>0.59822849753363672</v>
      </c>
      <c r="O9" s="21" cm="1">
        <f t="array" ref="O9">INDEX($C$2:$C$25, ROW()-ROW($F$2)+1 + COLUMN()-COLUMN($F$2))</f>
        <v>1.2095917524981672</v>
      </c>
      <c r="P9" s="21" cm="1">
        <f t="array" ref="P9">INDEX($C$2:$C$25, ROW()-ROW($F$2)+1 + COLUMN()-COLUMN($F$2))</f>
        <v>1.1299871620079944</v>
      </c>
      <c r="Q9" s="21" cm="1">
        <f t="array" ref="Q9">INDEX($C$2:$C$25, ROW()-ROW($F$2)+1 + COLUMN()-COLUMN($F$2))</f>
        <v>1.0058040008433207</v>
      </c>
      <c r="R9" s="21" cm="1">
        <f t="array" ref="R9">INDEX($C$2:$C$25, ROW()-ROW($F$2)+1 + COLUMN()-COLUMN($F$2))</f>
        <v>1.0440142042786049</v>
      </c>
    </row>
    <row r="10" spans="1:18" x14ac:dyDescent="0.3">
      <c r="A10" vm="9">
        <v>212.41</v>
      </c>
      <c r="C10" s="21">
        <f t="shared" si="0"/>
        <v>0.57593921219639055</v>
      </c>
      <c r="F10" s="21" cm="1">
        <f t="array" ref="F10">INDEX($C$2:$C$25, ROW()-ROW($F$2)+1 + COLUMN()-COLUMN($F$2))</f>
        <v>0.57593921219639055</v>
      </c>
      <c r="G10" s="21" cm="1">
        <f t="array" ref="G10">INDEX($C$2:$C$25, ROW()-ROW($F$2)+1 + COLUMN()-COLUMN($F$2))</f>
        <v>0.17791625974552772</v>
      </c>
      <c r="H10" s="21" cm="1">
        <f t="array" ref="H10">INDEX($C$2:$C$25, ROW()-ROW($F$2)+1 + COLUMN()-COLUMN($F$2))</f>
        <v>-0.630866379634623</v>
      </c>
      <c r="I10" s="21" cm="1">
        <f t="array" ref="I10">INDEX($C$2:$C$25, ROW()-ROW($F$2)+1 + COLUMN()-COLUMN($F$2))</f>
        <v>-0.4748413822738819</v>
      </c>
      <c r="J10" s="21" cm="1">
        <f t="array" ref="J10">INDEX($C$2:$C$25, ROW()-ROW($F$2)+1 + COLUMN()-COLUMN($F$2))</f>
        <v>-0.14050210221516254</v>
      </c>
      <c r="K10" s="21" cm="1">
        <f t="array" ref="K10">INDEX($C$2:$C$25, ROW()-ROW($F$2)+1 + COLUMN()-COLUMN($F$2))</f>
        <v>-0.18508067288965485</v>
      </c>
      <c r="L10" s="21" cm="1">
        <f t="array" ref="L10">INDEX($C$2:$C$25, ROW()-ROW($F$2)+1 + COLUMN()-COLUMN($F$2))</f>
        <v>0.18428462698474479</v>
      </c>
      <c r="M10" s="21" cm="1">
        <f t="array" ref="M10">INDEX($C$2:$C$25, ROW()-ROW($F$2)+1 + COLUMN()-COLUMN($F$2))</f>
        <v>0.59822849753363672</v>
      </c>
      <c r="N10" s="21" cm="1">
        <f t="array" ref="N10">INDEX($C$2:$C$25, ROW()-ROW($F$2)+1 + COLUMN()-COLUMN($F$2))</f>
        <v>1.2095917524981672</v>
      </c>
      <c r="O10" s="21" cm="1">
        <f t="array" ref="O10">INDEX($C$2:$C$25, ROW()-ROW($F$2)+1 + COLUMN()-COLUMN($F$2))</f>
        <v>1.1299871620079944</v>
      </c>
      <c r="P10" s="21" cm="1">
        <f t="array" ref="P10">INDEX($C$2:$C$25, ROW()-ROW($F$2)+1 + COLUMN()-COLUMN($F$2))</f>
        <v>1.0058040008433207</v>
      </c>
      <c r="Q10" s="21" cm="1">
        <f t="array" ref="Q10">INDEX($C$2:$C$25, ROW()-ROW($F$2)+1 + COLUMN()-COLUMN($F$2))</f>
        <v>1.0440142042786049</v>
      </c>
      <c r="R10" s="21" cm="1">
        <f t="array" ref="R10">INDEX($C$2:$C$25, ROW()-ROW($F$2)+1 + COLUMN()-COLUMN($F$2))</f>
        <v>1.0981453258119274</v>
      </c>
    </row>
    <row r="11" spans="1:18" x14ac:dyDescent="0.3">
      <c r="A11" vm="10">
        <v>211.16</v>
      </c>
      <c r="C11" s="21">
        <f t="shared" si="0"/>
        <v>0.17791625974552772</v>
      </c>
      <c r="F11" s="21" cm="1">
        <f t="array" ref="F11">INDEX($C$2:$C$25, ROW()-ROW($F$2)+1 + COLUMN()-COLUMN($F$2))</f>
        <v>0.17791625974552772</v>
      </c>
      <c r="G11" s="21" cm="1">
        <f t="array" ref="G11">INDEX($C$2:$C$25, ROW()-ROW($F$2)+1 + COLUMN()-COLUMN($F$2))</f>
        <v>-0.630866379634623</v>
      </c>
      <c r="H11" s="21" cm="1">
        <f t="array" ref="H11">INDEX($C$2:$C$25, ROW()-ROW($F$2)+1 + COLUMN()-COLUMN($F$2))</f>
        <v>-0.4748413822738819</v>
      </c>
      <c r="I11" s="21" cm="1">
        <f t="array" ref="I11">INDEX($C$2:$C$25, ROW()-ROW($F$2)+1 + COLUMN()-COLUMN($F$2))</f>
        <v>-0.14050210221516254</v>
      </c>
      <c r="J11" s="21" cm="1">
        <f t="array" ref="J11">INDEX($C$2:$C$25, ROW()-ROW($F$2)+1 + COLUMN()-COLUMN($F$2))</f>
        <v>-0.18508067288965485</v>
      </c>
      <c r="K11" s="21" cm="1">
        <f t="array" ref="K11">INDEX($C$2:$C$25, ROW()-ROW($F$2)+1 + COLUMN()-COLUMN($F$2))</f>
        <v>0.18428462698474479</v>
      </c>
      <c r="L11" s="21" cm="1">
        <f t="array" ref="L11">INDEX($C$2:$C$25, ROW()-ROW($F$2)+1 + COLUMN()-COLUMN($F$2))</f>
        <v>0.59822849753363672</v>
      </c>
      <c r="M11" s="21" cm="1">
        <f t="array" ref="M11">INDEX($C$2:$C$25, ROW()-ROW($F$2)+1 + COLUMN()-COLUMN($F$2))</f>
        <v>1.2095917524981672</v>
      </c>
      <c r="N11" s="21" cm="1">
        <f t="array" ref="N11">INDEX($C$2:$C$25, ROW()-ROW($F$2)+1 + COLUMN()-COLUMN($F$2))</f>
        <v>1.1299871620079944</v>
      </c>
      <c r="O11" s="21" cm="1">
        <f t="array" ref="O11">INDEX($C$2:$C$25, ROW()-ROW($F$2)+1 + COLUMN()-COLUMN($F$2))</f>
        <v>1.0058040008433207</v>
      </c>
      <c r="P11" s="21" cm="1">
        <f t="array" ref="P11">INDEX($C$2:$C$25, ROW()-ROW($F$2)+1 + COLUMN()-COLUMN($F$2))</f>
        <v>1.0440142042786049</v>
      </c>
      <c r="Q11" s="21" cm="1">
        <f t="array" ref="Q11">INDEX($C$2:$C$25, ROW()-ROW($F$2)+1 + COLUMN()-COLUMN($F$2))</f>
        <v>1.0981453258119274</v>
      </c>
      <c r="R11" s="21" cm="1">
        <f t="array" ref="R11">INDEX($C$2:$C$25, ROW()-ROW($F$2)+1 + COLUMN()-COLUMN($F$2))</f>
        <v>0.21294227956120801</v>
      </c>
    </row>
    <row r="12" spans="1:18" x14ac:dyDescent="0.3">
      <c r="A12" vm="11">
        <v>208.62</v>
      </c>
      <c r="C12" s="21">
        <f t="shared" si="0"/>
        <v>-0.630866379634623</v>
      </c>
      <c r="F12" s="21" cm="1">
        <f t="array" ref="F12">INDEX($C$2:$C$25, ROW()-ROW($F$2)+1 + COLUMN()-COLUMN($F$2))</f>
        <v>-0.630866379634623</v>
      </c>
      <c r="G12" s="21" cm="1">
        <f t="array" ref="G12">INDEX($C$2:$C$25, ROW()-ROW($F$2)+1 + COLUMN()-COLUMN($F$2))</f>
        <v>-0.4748413822738819</v>
      </c>
      <c r="H12" s="21" cm="1">
        <f t="array" ref="H12">INDEX($C$2:$C$25, ROW()-ROW($F$2)+1 + COLUMN()-COLUMN($F$2))</f>
        <v>-0.14050210221516254</v>
      </c>
      <c r="I12" s="21" cm="1">
        <f t="array" ref="I12">INDEX($C$2:$C$25, ROW()-ROW($F$2)+1 + COLUMN()-COLUMN($F$2))</f>
        <v>-0.18508067288965485</v>
      </c>
      <c r="J12" s="21" cm="1">
        <f t="array" ref="J12">INDEX($C$2:$C$25, ROW()-ROW($F$2)+1 + COLUMN()-COLUMN($F$2))</f>
        <v>0.18428462698474479</v>
      </c>
      <c r="K12" s="21" cm="1">
        <f t="array" ref="K12">INDEX($C$2:$C$25, ROW()-ROW($F$2)+1 + COLUMN()-COLUMN($F$2))</f>
        <v>0.59822849753363672</v>
      </c>
      <c r="L12" s="21" cm="1">
        <f t="array" ref="L12">INDEX($C$2:$C$25, ROW()-ROW($F$2)+1 + COLUMN()-COLUMN($F$2))</f>
        <v>1.2095917524981672</v>
      </c>
      <c r="M12" s="21" cm="1">
        <f t="array" ref="M12">INDEX($C$2:$C$25, ROW()-ROW($F$2)+1 + COLUMN()-COLUMN($F$2))</f>
        <v>1.1299871620079944</v>
      </c>
      <c r="N12" s="21" cm="1">
        <f t="array" ref="N12">INDEX($C$2:$C$25, ROW()-ROW($F$2)+1 + COLUMN()-COLUMN($F$2))</f>
        <v>1.0058040008433207</v>
      </c>
      <c r="O12" s="21" cm="1">
        <f t="array" ref="O12">INDEX($C$2:$C$25, ROW()-ROW($F$2)+1 + COLUMN()-COLUMN($F$2))</f>
        <v>1.0440142042786049</v>
      </c>
      <c r="P12" s="21" cm="1">
        <f t="array" ref="P12">INDEX($C$2:$C$25, ROW()-ROW($F$2)+1 + COLUMN()-COLUMN($F$2))</f>
        <v>1.0981453258119274</v>
      </c>
      <c r="Q12" s="21" cm="1">
        <f t="array" ref="Q12">INDEX($C$2:$C$25, ROW()-ROW($F$2)+1 + COLUMN()-COLUMN($F$2))</f>
        <v>0.21294227956120801</v>
      </c>
      <c r="R12" s="21" cm="1">
        <f t="array" ref="R12">INDEX($C$2:$C$25, ROW()-ROW($F$2)+1 + COLUMN()-COLUMN($F$2))</f>
        <v>-0.49394648399152402</v>
      </c>
    </row>
    <row r="13" spans="1:18" x14ac:dyDescent="0.3">
      <c r="A13" vm="12">
        <v>209.11</v>
      </c>
      <c r="C13" s="21">
        <f t="shared" si="0"/>
        <v>-0.4748413822738819</v>
      </c>
      <c r="F13" s="21" cm="1">
        <f t="array" ref="F13">INDEX($C$2:$C$25, ROW()-ROW($F$2)+1 + COLUMN()-COLUMN($F$2))</f>
        <v>-0.4748413822738819</v>
      </c>
      <c r="G13" s="21" cm="1">
        <f t="array" ref="G13">INDEX($C$2:$C$25, ROW()-ROW($F$2)+1 + COLUMN()-COLUMN($F$2))</f>
        <v>-0.14050210221516254</v>
      </c>
      <c r="H13" s="21" cm="1">
        <f t="array" ref="H13">INDEX($C$2:$C$25, ROW()-ROW($F$2)+1 + COLUMN()-COLUMN($F$2))</f>
        <v>-0.18508067288965485</v>
      </c>
      <c r="I13" s="21" cm="1">
        <f t="array" ref="I13">INDEX($C$2:$C$25, ROW()-ROW($F$2)+1 + COLUMN()-COLUMN($F$2))</f>
        <v>0.18428462698474479</v>
      </c>
      <c r="J13" s="21" cm="1">
        <f t="array" ref="J13">INDEX($C$2:$C$25, ROW()-ROW($F$2)+1 + COLUMN()-COLUMN($F$2))</f>
        <v>0.59822849753363672</v>
      </c>
      <c r="K13" s="21" cm="1">
        <f t="array" ref="K13">INDEX($C$2:$C$25, ROW()-ROW($F$2)+1 + COLUMN()-COLUMN($F$2))</f>
        <v>1.2095917524981672</v>
      </c>
      <c r="L13" s="21" cm="1">
        <f t="array" ref="L13">INDEX($C$2:$C$25, ROW()-ROW($F$2)+1 + COLUMN()-COLUMN($F$2))</f>
        <v>1.1299871620079944</v>
      </c>
      <c r="M13" s="21" cm="1">
        <f t="array" ref="M13">INDEX($C$2:$C$25, ROW()-ROW($F$2)+1 + COLUMN()-COLUMN($F$2))</f>
        <v>1.0058040008433207</v>
      </c>
      <c r="N13" s="21" cm="1">
        <f t="array" ref="N13">INDEX($C$2:$C$25, ROW()-ROW($F$2)+1 + COLUMN()-COLUMN($F$2))</f>
        <v>1.0440142042786049</v>
      </c>
      <c r="O13" s="21" cm="1">
        <f t="array" ref="O13">INDEX($C$2:$C$25, ROW()-ROW($F$2)+1 + COLUMN()-COLUMN($F$2))</f>
        <v>1.0981453258119274</v>
      </c>
      <c r="P13" s="21" cm="1">
        <f t="array" ref="P13">INDEX($C$2:$C$25, ROW()-ROW($F$2)+1 + COLUMN()-COLUMN($F$2))</f>
        <v>0.21294227956120801</v>
      </c>
      <c r="Q13" s="21" cm="1">
        <f t="array" ref="Q13">INDEX($C$2:$C$25, ROW()-ROW($F$2)+1 + COLUMN()-COLUMN($F$2))</f>
        <v>-0.49394648399152402</v>
      </c>
      <c r="R13" s="21" cm="1">
        <f t="array" ref="R13">INDEX($C$2:$C$25, ROW()-ROW($F$2)+1 + COLUMN()-COLUMN($F$2))</f>
        <v>-0.96520565969335148</v>
      </c>
    </row>
    <row r="14" spans="1:18" x14ac:dyDescent="0.3">
      <c r="A14" vm="13">
        <v>210.16</v>
      </c>
      <c r="C14" s="21">
        <f t="shared" si="0"/>
        <v>-0.14050210221516254</v>
      </c>
      <c r="F14" s="21" t="str">
        <f ca="1">_xlfn.FORMULATEXT(F2)</f>
        <v>=INDEX($C$2:$C$25, ROW()-ROW($F$2)+1 + COLUMN()-COLUMN($F$2))</v>
      </c>
    </row>
    <row r="15" spans="1:18" x14ac:dyDescent="0.3">
      <c r="A15" vm="14">
        <v>210.02</v>
      </c>
      <c r="C15" s="21">
        <f t="shared" si="0"/>
        <v>-0.18508067288965485</v>
      </c>
    </row>
    <row r="16" spans="1:18" x14ac:dyDescent="0.3">
      <c r="A16" vm="15">
        <v>211.18</v>
      </c>
      <c r="C16" s="21">
        <f t="shared" si="0"/>
        <v>0.18428462698474479</v>
      </c>
    </row>
    <row r="17" spans="1:3" x14ac:dyDescent="0.3">
      <c r="A17" vm="16">
        <v>212.48</v>
      </c>
      <c r="C17" s="21">
        <f t="shared" si="0"/>
        <v>0.59822849753363672</v>
      </c>
    </row>
    <row r="18" spans="1:3" x14ac:dyDescent="0.3">
      <c r="A18" vm="17">
        <v>214.4</v>
      </c>
      <c r="C18" s="21">
        <f t="shared" si="0"/>
        <v>1.2095917524981672</v>
      </c>
    </row>
    <row r="19" spans="1:3" x14ac:dyDescent="0.3">
      <c r="A19" vm="18">
        <v>214.15</v>
      </c>
      <c r="C19" s="21">
        <f t="shared" si="0"/>
        <v>1.1299871620079944</v>
      </c>
    </row>
    <row r="20" spans="1:3" x14ac:dyDescent="0.3">
      <c r="A20" vm="19">
        <v>213.76</v>
      </c>
      <c r="C20" s="21">
        <f t="shared" si="0"/>
        <v>1.0058040008433207</v>
      </c>
    </row>
    <row r="21" spans="1:3" x14ac:dyDescent="0.3">
      <c r="A21" vm="20">
        <v>213.88</v>
      </c>
      <c r="C21" s="21">
        <f t="shared" si="0"/>
        <v>1.0440142042786049</v>
      </c>
    </row>
    <row r="22" spans="1:3" x14ac:dyDescent="0.3">
      <c r="A22" s="294">
        <v>214.05</v>
      </c>
      <c r="B22" s="294"/>
      <c r="C22" s="21">
        <f t="shared" si="0"/>
        <v>1.0981453258119274</v>
      </c>
    </row>
    <row r="23" spans="1:3" x14ac:dyDescent="0.3">
      <c r="A23" s="294">
        <v>211.27</v>
      </c>
      <c r="B23" s="294"/>
      <c r="C23" s="21">
        <f t="shared" si="0"/>
        <v>0.21294227956120801</v>
      </c>
    </row>
    <row r="24" spans="1:3" x14ac:dyDescent="0.3">
      <c r="A24" s="294">
        <v>209.05</v>
      </c>
      <c r="B24" s="294"/>
      <c r="C24" s="21">
        <f t="shared" si="0"/>
        <v>-0.49394648399152402</v>
      </c>
    </row>
    <row r="25" spans="1:3" x14ac:dyDescent="0.3">
      <c r="A25" s="294">
        <v>207.57</v>
      </c>
      <c r="B25" s="294"/>
      <c r="C25" s="21">
        <f t="shared" si="0"/>
        <v>-0.96520565969335148</v>
      </c>
    </row>
    <row r="26" spans="1:3" x14ac:dyDescent="0.3">
      <c r="C26" s="21" t="str">
        <f ca="1">_xlfn.FORMULATEXT(C2)</f>
        <v>=(A2-AVERAGE($A$2:$A$25))/STDEV.S($A$2:$A$25)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86813-7780-4386-8A93-9FC5BB7A4B84}">
  <dimension ref="A1:AR46"/>
  <sheetViews>
    <sheetView zoomScaleNormal="100" workbookViewId="0">
      <selection activeCell="Y31" sqref="Y31"/>
    </sheetView>
  </sheetViews>
  <sheetFormatPr defaultRowHeight="14.4" x14ac:dyDescent="0.3"/>
  <cols>
    <col min="1" max="1" width="10.33203125" customWidth="1"/>
    <col min="2" max="2" width="11.44140625" customWidth="1"/>
    <col min="3" max="3" width="10.44140625" customWidth="1"/>
    <col min="4" max="4" width="11.5546875" customWidth="1"/>
    <col min="5" max="5" width="10.88671875" customWidth="1"/>
    <col min="6" max="6" width="11.5546875" customWidth="1"/>
    <col min="7" max="18" width="8.44140625" customWidth="1"/>
    <col min="20" max="33" width="9" customWidth="1"/>
    <col min="34" max="34" width="11.33203125" customWidth="1"/>
  </cols>
  <sheetData>
    <row r="1" spans="1:37" x14ac:dyDescent="0.3">
      <c r="A1" t="s">
        <v>493</v>
      </c>
      <c r="B1" t="s">
        <v>492</v>
      </c>
      <c r="C1" t="s">
        <v>491</v>
      </c>
      <c r="D1" t="s">
        <v>490</v>
      </c>
      <c r="F1" t="s">
        <v>494</v>
      </c>
      <c r="H1" s="297" t="s">
        <v>488</v>
      </c>
      <c r="I1" s="296">
        <f>COUNT(C2:C25)</f>
        <v>24</v>
      </c>
      <c r="J1" s="297" t="s">
        <v>487</v>
      </c>
      <c r="K1" s="296">
        <v>12</v>
      </c>
      <c r="L1" s="297" t="s">
        <v>486</v>
      </c>
      <c r="M1" s="296">
        <f>I1-K1+1</f>
        <v>13</v>
      </c>
      <c r="T1" t="s">
        <v>456</v>
      </c>
      <c r="AI1" t="s">
        <v>496</v>
      </c>
      <c r="AK1" t="s">
        <v>495</v>
      </c>
    </row>
    <row r="2" spans="1:37" x14ac:dyDescent="0.3">
      <c r="A2" vm="1">
        <v>201.08</v>
      </c>
      <c r="B2" s="293">
        <f t="shared" ref="B2:B29" si="0">D2*_xlfn.STDEV.S($A$2:$A$25)+AVERAGE($A$2:$A$25)</f>
        <v>206.51056661803673</v>
      </c>
      <c r="C2" s="21">
        <f t="shared" ref="C2:C25" si="1">(A2-AVERAGE($A$2:$A$25))/_xlfn.STDEV.S($A$2:$A$25)</f>
        <v>-3.0317408288182253</v>
      </c>
      <c r="D2" s="299" cm="1">
        <f t="array" ref="D2">AVERAGE(IF(((ROW($F$17:$R$28)-ROW($F$17)+1)+(COLUMN($F$17:$R$28)-COLUMN($F$17)+1)) = ROW()-ROW($D$2)+2, $F$17:$R$28))</f>
        <v>-1.3025487017845694</v>
      </c>
      <c r="E2" s="298"/>
      <c r="F2" s="21" cm="1">
        <f t="array" ref="F2">INDEX($C$2:$C$25, ROW()-ROW($F$2)+1 + COLUMN()-COLUMN($F$2))</f>
        <v>-3.0317408288182253</v>
      </c>
      <c r="G2" s="21" cm="1">
        <f t="array" ref="G2">INDEX($C$2:$C$25, ROW()-ROW($F$2)+1 + COLUMN()-COLUMN($F$2))</f>
        <v>-1.72940972839901</v>
      </c>
      <c r="H2" s="21" cm="1">
        <f t="array" ref="H2">INDEX($C$2:$C$25, ROW()-ROW($F$2)+1 + COLUMN()-COLUMN($F$2))</f>
        <v>-0.88560106920317883</v>
      </c>
      <c r="I2" s="21" cm="1">
        <f t="array" ref="I2">INDEX($C$2:$C$25, ROW()-ROW($F$2)+1 + COLUMN()-COLUMN($F$2))</f>
        <v>0.58549176305521167</v>
      </c>
      <c r="J2" s="21" cm="1">
        <f t="array" ref="J2">INDEX($C$2:$C$25, ROW()-ROW($F$2)+1 + COLUMN()-COLUMN($F$2))</f>
        <v>0.93893614483158216</v>
      </c>
      <c r="K2" s="21" cm="1">
        <f t="array" ref="K2">INDEX($C$2:$C$25, ROW()-ROW($F$2)+1 + COLUMN()-COLUMN($F$2))</f>
        <v>-0.20736995822691004</v>
      </c>
      <c r="L2" s="21" cm="1">
        <f t="array" ref="L2">INDEX($C$2:$C$25, ROW()-ROW($F$2)+1 + COLUMN()-COLUMN($F$2))</f>
        <v>-0.18826485650926789</v>
      </c>
      <c r="M2" s="21" cm="1">
        <f t="array" ref="M2">INDEX($C$2:$C$25, ROW()-ROW($F$2)+1 + COLUMN()-COLUMN($F$2))</f>
        <v>0.17154789250631067</v>
      </c>
      <c r="N2" s="21" cm="1">
        <f t="array" ref="N2">INDEX($C$2:$C$25, ROW()-ROW($F$2)+1 + COLUMN()-COLUMN($F$2))</f>
        <v>0.57593921219639055</v>
      </c>
      <c r="O2" s="21" cm="1">
        <f t="array" ref="O2">INDEX($C$2:$C$25, ROW()-ROW($F$2)+1 + COLUMN()-COLUMN($F$2))</f>
        <v>0.17791625974552772</v>
      </c>
      <c r="P2" s="21" cm="1">
        <f t="array" ref="P2">INDEX($C$2:$C$25, ROW()-ROW($F$2)+1 + COLUMN()-COLUMN($F$2))</f>
        <v>-0.630866379634623</v>
      </c>
      <c r="Q2" s="21" cm="1">
        <f t="array" ref="Q2">INDEX($C$2:$C$25, ROW()-ROW($F$2)+1 + COLUMN()-COLUMN($F$2))</f>
        <v>-0.4748413822738819</v>
      </c>
      <c r="R2" s="21" cm="1">
        <f t="array" ref="R2">INDEX($C$2:$C$25, ROW()-ROW($F$2)+1 + COLUMN()-COLUMN($F$2))</f>
        <v>-0.14050210221516254</v>
      </c>
      <c r="T2" s="295" cm="1">
        <f t="array" ref="T2:AE13">[2]!SVD_U(F2:R13)</f>
        <v>-0.48960794641679939</v>
      </c>
      <c r="U2" s="295">
        <v>-0.44308754368583408</v>
      </c>
      <c r="V2" s="295">
        <v>-0.46841190450259473</v>
      </c>
      <c r="W2" s="295">
        <v>0.33113118376430717</v>
      </c>
      <c r="X2" s="295">
        <v>-0.34509671246232837</v>
      </c>
      <c r="Y2" s="295">
        <v>-0.27477392507940834</v>
      </c>
      <c r="Z2" s="295">
        <v>-1.4597656760384827E-2</v>
      </c>
      <c r="AA2" s="295">
        <v>-0.12582420628037805</v>
      </c>
      <c r="AB2" s="295">
        <v>-1.4666658546789821E-3</v>
      </c>
      <c r="AC2" s="295">
        <v>-7.369754408182054E-2</v>
      </c>
      <c r="AD2" s="295">
        <v>-5.8618929370407753E-2</v>
      </c>
      <c r="AE2" s="295">
        <v>0.12406846084839371</v>
      </c>
      <c r="AH2" s="291" vm="21">
        <v>45835</v>
      </c>
      <c r="AI2" s="21">
        <f t="shared" ref="AI2:AI25" si="2">A2-B2</f>
        <v>-5.4305666180367211</v>
      </c>
    </row>
    <row r="3" spans="1:37" x14ac:dyDescent="0.3">
      <c r="A3" vm="2">
        <v>205.17</v>
      </c>
      <c r="B3" s="293">
        <f t="shared" si="0"/>
        <v>208.25237659053496</v>
      </c>
      <c r="C3" s="21">
        <f t="shared" si="1"/>
        <v>-1.72940972839901</v>
      </c>
      <c r="D3" s="299" cm="1">
        <f t="array" ref="D3">AVERAGE(IF(((ROW($F$17:$R$28)-ROW($F$17)+1)+(COLUMN($F$17:$R$28)-COLUMN($F$17)+1)) = ROW()-ROW($D$2)+2, $F$17:$R$28))</f>
        <v>-0.74792442349488852</v>
      </c>
      <c r="E3" s="298"/>
      <c r="F3" s="21" cm="1">
        <f t="array" ref="F3">INDEX($C$2:$C$25, ROW()-ROW($F$2)+1 + COLUMN()-COLUMN($F$2))</f>
        <v>-1.72940972839901</v>
      </c>
      <c r="G3" s="21" cm="1">
        <f t="array" ref="G3">INDEX($C$2:$C$25, ROW()-ROW($F$2)+1 + COLUMN()-COLUMN($F$2))</f>
        <v>-0.88560106920317883</v>
      </c>
      <c r="H3" s="21" cm="1">
        <f t="array" ref="H3">INDEX($C$2:$C$25, ROW()-ROW($F$2)+1 + COLUMN()-COLUMN($F$2))</f>
        <v>0.58549176305521167</v>
      </c>
      <c r="I3" s="21" cm="1">
        <f t="array" ref="I3">INDEX($C$2:$C$25, ROW()-ROW($F$2)+1 + COLUMN()-COLUMN($F$2))</f>
        <v>0.93893614483158216</v>
      </c>
      <c r="J3" s="21" cm="1">
        <f t="array" ref="J3">INDEX($C$2:$C$25, ROW()-ROW($F$2)+1 + COLUMN()-COLUMN($F$2))</f>
        <v>-0.20736995822691004</v>
      </c>
      <c r="K3" s="21" cm="1">
        <f t="array" ref="K3">INDEX($C$2:$C$25, ROW()-ROW($F$2)+1 + COLUMN()-COLUMN($F$2))</f>
        <v>-0.18826485650926789</v>
      </c>
      <c r="L3" s="21" cm="1">
        <f t="array" ref="L3">INDEX($C$2:$C$25, ROW()-ROW($F$2)+1 + COLUMN()-COLUMN($F$2))</f>
        <v>0.17154789250631067</v>
      </c>
      <c r="M3" s="21" cm="1">
        <f t="array" ref="M3">INDEX($C$2:$C$25, ROW()-ROW($F$2)+1 + COLUMN()-COLUMN($F$2))</f>
        <v>0.57593921219639055</v>
      </c>
      <c r="N3" s="21" cm="1">
        <f t="array" ref="N3">INDEX($C$2:$C$25, ROW()-ROW($F$2)+1 + COLUMN()-COLUMN($F$2))</f>
        <v>0.17791625974552772</v>
      </c>
      <c r="O3" s="21" cm="1">
        <f t="array" ref="O3">INDEX($C$2:$C$25, ROW()-ROW($F$2)+1 + COLUMN()-COLUMN($F$2))</f>
        <v>-0.630866379634623</v>
      </c>
      <c r="P3" s="21" cm="1">
        <f t="array" ref="P3">INDEX($C$2:$C$25, ROW()-ROW($F$2)+1 + COLUMN()-COLUMN($F$2))</f>
        <v>-0.4748413822738819</v>
      </c>
      <c r="Q3" s="21" cm="1">
        <f t="array" ref="Q3">INDEX($C$2:$C$25, ROW()-ROW($F$2)+1 + COLUMN()-COLUMN($F$2))</f>
        <v>-0.14050210221516254</v>
      </c>
      <c r="R3" s="21" cm="1">
        <f t="array" ref="R3">INDEX($C$2:$C$25, ROW()-ROW($F$2)+1 + COLUMN()-COLUMN($F$2))</f>
        <v>-0.18508067288965485</v>
      </c>
      <c r="T3" s="295">
        <v>-0.32885465613629761</v>
      </c>
      <c r="U3" s="295">
        <v>-0.18973446408202602</v>
      </c>
      <c r="V3" s="295">
        <v>-0.28595532119196387</v>
      </c>
      <c r="W3" s="295">
        <v>-0.34782026696915941</v>
      </c>
      <c r="X3" s="295">
        <v>0.2431695849269008</v>
      </c>
      <c r="Y3" s="295">
        <v>0.34330773450930258</v>
      </c>
      <c r="Z3" s="295">
        <v>-0.27075171160895162</v>
      </c>
      <c r="AA3" s="295">
        <v>0.49301687337019545</v>
      </c>
      <c r="AB3" s="295">
        <v>-3.9590232018278604E-2</v>
      </c>
      <c r="AC3" s="295">
        <v>-0.20486365722331207</v>
      </c>
      <c r="AD3" s="295">
        <v>6.6500444302613551E-3</v>
      </c>
      <c r="AE3" s="295">
        <v>-0.34082482664410912</v>
      </c>
      <c r="AH3" s="291" vm="22">
        <v>45838</v>
      </c>
      <c r="AI3" s="21">
        <f t="shared" si="2"/>
        <v>-3.0823765905349774</v>
      </c>
    </row>
    <row r="4" spans="1:37" x14ac:dyDescent="0.3">
      <c r="A4" vm="3">
        <v>207.82</v>
      </c>
      <c r="B4" s="293">
        <f t="shared" si="0"/>
        <v>209.88528863463651</v>
      </c>
      <c r="C4" s="21">
        <f t="shared" si="1"/>
        <v>-0.88560106920317883</v>
      </c>
      <c r="D4" s="299" cm="1">
        <f t="array" ref="D4">AVERAGE(IF(((ROW($F$17:$R$28)-ROW($F$17)+1)+(COLUMN($F$17:$R$28)-COLUMN($F$17)+1)) = ROW()-ROW($D$2)+2, $F$17:$R$28))</f>
        <v>-0.22797524518618995</v>
      </c>
      <c r="E4" s="298"/>
      <c r="F4" s="21" cm="1">
        <f t="array" ref="F4">INDEX($C$2:$C$25, ROW()-ROW($F$2)+1 + COLUMN()-COLUMN($F$2))</f>
        <v>-0.88560106920317883</v>
      </c>
      <c r="G4" s="21" cm="1">
        <f t="array" ref="G4">INDEX($C$2:$C$25, ROW()-ROW($F$2)+1 + COLUMN()-COLUMN($F$2))</f>
        <v>0.58549176305521167</v>
      </c>
      <c r="H4" s="21" cm="1">
        <f t="array" ref="H4">INDEX($C$2:$C$25, ROW()-ROW($F$2)+1 + COLUMN()-COLUMN($F$2))</f>
        <v>0.93893614483158216</v>
      </c>
      <c r="I4" s="21" cm="1">
        <f t="array" ref="I4">INDEX($C$2:$C$25, ROW()-ROW($F$2)+1 + COLUMN()-COLUMN($F$2))</f>
        <v>-0.20736995822691004</v>
      </c>
      <c r="J4" s="21" cm="1">
        <f t="array" ref="J4">INDEX($C$2:$C$25, ROW()-ROW($F$2)+1 + COLUMN()-COLUMN($F$2))</f>
        <v>-0.18826485650926789</v>
      </c>
      <c r="K4" s="21" cm="1">
        <f t="array" ref="K4">INDEX($C$2:$C$25, ROW()-ROW($F$2)+1 + COLUMN()-COLUMN($F$2))</f>
        <v>0.17154789250631067</v>
      </c>
      <c r="L4" s="21" cm="1">
        <f t="array" ref="L4">INDEX($C$2:$C$25, ROW()-ROW($F$2)+1 + COLUMN()-COLUMN($F$2))</f>
        <v>0.57593921219639055</v>
      </c>
      <c r="M4" s="21" cm="1">
        <f t="array" ref="M4">INDEX($C$2:$C$25, ROW()-ROW($F$2)+1 + COLUMN()-COLUMN($F$2))</f>
        <v>0.17791625974552772</v>
      </c>
      <c r="N4" s="21" cm="1">
        <f t="array" ref="N4">INDEX($C$2:$C$25, ROW()-ROW($F$2)+1 + COLUMN()-COLUMN($F$2))</f>
        <v>-0.630866379634623</v>
      </c>
      <c r="O4" s="21" cm="1">
        <f t="array" ref="O4">INDEX($C$2:$C$25, ROW()-ROW($F$2)+1 + COLUMN()-COLUMN($F$2))</f>
        <v>-0.4748413822738819</v>
      </c>
      <c r="P4" s="21" cm="1">
        <f t="array" ref="P4">INDEX($C$2:$C$25, ROW()-ROW($F$2)+1 + COLUMN()-COLUMN($F$2))</f>
        <v>-0.14050210221516254</v>
      </c>
      <c r="Q4" s="21" cm="1">
        <f t="array" ref="Q4">INDEX($C$2:$C$25, ROW()-ROW($F$2)+1 + COLUMN()-COLUMN($F$2))</f>
        <v>-0.18508067288965485</v>
      </c>
      <c r="R4" s="21" cm="1">
        <f t="array" ref="R4">INDEX($C$2:$C$25, ROW()-ROW($F$2)+1 + COLUMN()-COLUMN($F$2))</f>
        <v>0.18428462698474479</v>
      </c>
      <c r="T4" s="295">
        <v>-0.10963627258591012</v>
      </c>
      <c r="U4" s="295">
        <v>4.9777898867963036E-2</v>
      </c>
      <c r="V4" s="295">
        <v>-7.1670232947607529E-3</v>
      </c>
      <c r="W4" s="295">
        <v>-0.61486026889681866</v>
      </c>
      <c r="X4" s="295">
        <v>-0.40839357294856654</v>
      </c>
      <c r="Y4" s="295">
        <v>0.10018674260906334</v>
      </c>
      <c r="Z4" s="295">
        <v>-0.37336353492963353</v>
      </c>
      <c r="AA4" s="295">
        <v>-0.22143055771025838</v>
      </c>
      <c r="AB4" s="295">
        <v>0.28653086338066863</v>
      </c>
      <c r="AC4" s="295">
        <v>0.22725810537881422</v>
      </c>
      <c r="AD4" s="295">
        <v>2.7835705133147072E-2</v>
      </c>
      <c r="AE4" s="295">
        <v>0.32805793465985122</v>
      </c>
      <c r="AH4" s="291" vm="23">
        <v>45839</v>
      </c>
      <c r="AI4" s="21">
        <f t="shared" si="2"/>
        <v>-2.0652886346365165</v>
      </c>
      <c r="AK4">
        <f>AVERAGE(A2:A4)</f>
        <v>204.68999999999997</v>
      </c>
    </row>
    <row r="5" spans="1:37" x14ac:dyDescent="0.3">
      <c r="A5" vm="4">
        <v>212.44</v>
      </c>
      <c r="B5" s="293">
        <f t="shared" si="0"/>
        <v>211.10847210585953</v>
      </c>
      <c r="C5" s="21">
        <f t="shared" si="1"/>
        <v>0.58549176305521167</v>
      </c>
      <c r="D5" s="299" cm="1">
        <f t="array" ref="D5">AVERAGE(IF(((ROW($F$17:$R$28)-ROW($F$17)+1)+(COLUMN($F$17:$R$28)-COLUMN($F$17)+1)) = ROW()-ROW($D$2)+2, $F$17:$R$28))</f>
        <v>0.16150883209803968</v>
      </c>
      <c r="E5" s="298"/>
      <c r="F5" s="21" cm="1">
        <f t="array" ref="F5">INDEX($C$2:$C$25, ROW()-ROW($F$2)+1 + COLUMN()-COLUMN($F$2))</f>
        <v>0.58549176305521167</v>
      </c>
      <c r="G5" s="21" cm="1">
        <f t="array" ref="G5">INDEX($C$2:$C$25, ROW()-ROW($F$2)+1 + COLUMN()-COLUMN($F$2))</f>
        <v>0.93893614483158216</v>
      </c>
      <c r="H5" s="21" cm="1">
        <f t="array" ref="H5">INDEX($C$2:$C$25, ROW()-ROW($F$2)+1 + COLUMN()-COLUMN($F$2))</f>
        <v>-0.20736995822691004</v>
      </c>
      <c r="I5" s="21" cm="1">
        <f t="array" ref="I5">INDEX($C$2:$C$25, ROW()-ROW($F$2)+1 + COLUMN()-COLUMN($F$2))</f>
        <v>-0.18826485650926789</v>
      </c>
      <c r="J5" s="21" cm="1">
        <f t="array" ref="J5">INDEX($C$2:$C$25, ROW()-ROW($F$2)+1 + COLUMN()-COLUMN($F$2))</f>
        <v>0.17154789250631067</v>
      </c>
      <c r="K5" s="21" cm="1">
        <f t="array" ref="K5">INDEX($C$2:$C$25, ROW()-ROW($F$2)+1 + COLUMN()-COLUMN($F$2))</f>
        <v>0.57593921219639055</v>
      </c>
      <c r="L5" s="21" cm="1">
        <f t="array" ref="L5">INDEX($C$2:$C$25, ROW()-ROW($F$2)+1 + COLUMN()-COLUMN($F$2))</f>
        <v>0.17791625974552772</v>
      </c>
      <c r="M5" s="21" cm="1">
        <f t="array" ref="M5">INDEX($C$2:$C$25, ROW()-ROW($F$2)+1 + COLUMN()-COLUMN($F$2))</f>
        <v>-0.630866379634623</v>
      </c>
      <c r="N5" s="21" cm="1">
        <f t="array" ref="N5">INDEX($C$2:$C$25, ROW()-ROW($F$2)+1 + COLUMN()-COLUMN($F$2))</f>
        <v>-0.4748413822738819</v>
      </c>
      <c r="O5" s="21" cm="1">
        <f t="array" ref="O5">INDEX($C$2:$C$25, ROW()-ROW($F$2)+1 + COLUMN()-COLUMN($F$2))</f>
        <v>-0.14050210221516254</v>
      </c>
      <c r="P5" s="21" cm="1">
        <f t="array" ref="P5">INDEX($C$2:$C$25, ROW()-ROW($F$2)+1 + COLUMN()-COLUMN($F$2))</f>
        <v>-0.18508067288965485</v>
      </c>
      <c r="Q5" s="21" cm="1">
        <f t="array" ref="Q5">INDEX($C$2:$C$25, ROW()-ROW($F$2)+1 + COLUMN()-COLUMN($F$2))</f>
        <v>0.18428462698474479</v>
      </c>
      <c r="R5" s="21" cm="1">
        <f t="array" ref="R5">INDEX($C$2:$C$25, ROW()-ROW($F$2)+1 + COLUMN()-COLUMN($F$2))</f>
        <v>0.59822849753363672</v>
      </c>
      <c r="T5" s="295">
        <v>0.11540275670783566</v>
      </c>
      <c r="U5" s="295">
        <v>0.20338419471669072</v>
      </c>
      <c r="V5" s="295">
        <v>9.5276650978825525E-2</v>
      </c>
      <c r="W5" s="295">
        <v>5.3825819527421367E-2</v>
      </c>
      <c r="X5" s="295">
        <v>-0.62086859603164435</v>
      </c>
      <c r="Y5" s="295">
        <v>0.17916606041180644</v>
      </c>
      <c r="Z5" s="295">
        <v>-0.19064020645355828</v>
      </c>
      <c r="AA5" s="295">
        <v>7.8548195224985903E-3</v>
      </c>
      <c r="AB5" s="295">
        <v>-0.56104600242762181</v>
      </c>
      <c r="AC5" s="295">
        <v>-0.30958864293750804</v>
      </c>
      <c r="AD5" s="295">
        <v>-0.15574201238253552</v>
      </c>
      <c r="AE5" s="295">
        <v>-0.2109151907024901</v>
      </c>
      <c r="AH5" s="291" vm="24">
        <v>45840</v>
      </c>
      <c r="AI5" s="21">
        <f t="shared" si="2"/>
        <v>1.3315278941404642</v>
      </c>
      <c r="AK5">
        <f>AVERAGE(A3:A5)</f>
        <v>208.47666666666669</v>
      </c>
    </row>
    <row r="6" spans="1:37" x14ac:dyDescent="0.3">
      <c r="A6" vm="5">
        <v>213.55</v>
      </c>
      <c r="B6" s="293">
        <f t="shared" si="0"/>
        <v>211.44188158184213</v>
      </c>
      <c r="C6" s="21">
        <f t="shared" si="1"/>
        <v>0.93893614483158216</v>
      </c>
      <c r="D6" s="299" cm="1">
        <f t="array" ref="D6">AVERAGE(IF(((ROW($F$17:$R$28)-ROW($F$17)+1)+(COLUMN($F$17:$R$28)-COLUMN($F$17)+1)) = ROW()-ROW($D$2)+2, $F$17:$R$28))</f>
        <v>0.26767253130258817</v>
      </c>
      <c r="E6" s="298"/>
      <c r="F6" s="21" cm="1">
        <f t="array" ref="F6">INDEX($C$2:$C$25, ROW()-ROW($F$2)+1 + COLUMN()-COLUMN($F$2))</f>
        <v>0.93893614483158216</v>
      </c>
      <c r="G6" s="21" cm="1">
        <f t="array" ref="G6">INDEX($C$2:$C$25, ROW()-ROW($F$2)+1 + COLUMN()-COLUMN($F$2))</f>
        <v>-0.20736995822691004</v>
      </c>
      <c r="H6" s="21" cm="1">
        <f t="array" ref="H6">INDEX($C$2:$C$25, ROW()-ROW($F$2)+1 + COLUMN()-COLUMN($F$2))</f>
        <v>-0.18826485650926789</v>
      </c>
      <c r="I6" s="21" cm="1">
        <f t="array" ref="I6">INDEX($C$2:$C$25, ROW()-ROW($F$2)+1 + COLUMN()-COLUMN($F$2))</f>
        <v>0.17154789250631067</v>
      </c>
      <c r="J6" s="21" cm="1">
        <f t="array" ref="J6">INDEX($C$2:$C$25, ROW()-ROW($F$2)+1 + COLUMN()-COLUMN($F$2))</f>
        <v>0.57593921219639055</v>
      </c>
      <c r="K6" s="21" cm="1">
        <f t="array" ref="K6">INDEX($C$2:$C$25, ROW()-ROW($F$2)+1 + COLUMN()-COLUMN($F$2))</f>
        <v>0.17791625974552772</v>
      </c>
      <c r="L6" s="21" cm="1">
        <f t="array" ref="L6">INDEX($C$2:$C$25, ROW()-ROW($F$2)+1 + COLUMN()-COLUMN($F$2))</f>
        <v>-0.630866379634623</v>
      </c>
      <c r="M6" s="21" cm="1">
        <f t="array" ref="M6">INDEX($C$2:$C$25, ROW()-ROW($F$2)+1 + COLUMN()-COLUMN($F$2))</f>
        <v>-0.4748413822738819</v>
      </c>
      <c r="N6" s="21" cm="1">
        <f t="array" ref="N6">INDEX($C$2:$C$25, ROW()-ROW($F$2)+1 + COLUMN()-COLUMN($F$2))</f>
        <v>-0.14050210221516254</v>
      </c>
      <c r="O6" s="21" cm="1">
        <f t="array" ref="O6">INDEX($C$2:$C$25, ROW()-ROW($F$2)+1 + COLUMN()-COLUMN($F$2))</f>
        <v>-0.18508067288965485</v>
      </c>
      <c r="P6" s="21" cm="1">
        <f t="array" ref="P6">INDEX($C$2:$C$25, ROW()-ROW($F$2)+1 + COLUMN()-COLUMN($F$2))</f>
        <v>0.18428462698474479</v>
      </c>
      <c r="Q6" s="21" cm="1">
        <f t="array" ref="Q6">INDEX($C$2:$C$25, ROW()-ROW($F$2)+1 + COLUMN()-COLUMN($F$2))</f>
        <v>0.59822849753363672</v>
      </c>
      <c r="R6" s="21" cm="1">
        <f t="array" ref="R6">INDEX($C$2:$C$25, ROW()-ROW($F$2)+1 + COLUMN()-COLUMN($F$2))</f>
        <v>1.2095917524981672</v>
      </c>
      <c r="T6" s="295">
        <v>0.19284492930655123</v>
      </c>
      <c r="U6" s="295">
        <v>0.15061647598145328</v>
      </c>
      <c r="V6" s="295">
        <v>-0.21541743598548091</v>
      </c>
      <c r="W6" s="295">
        <v>0.40099773258911758</v>
      </c>
      <c r="X6" s="295">
        <v>-0.18602561539770826</v>
      </c>
      <c r="Y6" s="295">
        <v>0.55280157657590989</v>
      </c>
      <c r="Z6" s="295">
        <v>-1.0225766418461308E-2</v>
      </c>
      <c r="AA6" s="295">
        <v>2.3942261070643463E-2</v>
      </c>
      <c r="AB6" s="295">
        <v>0.58205703842686329</v>
      </c>
      <c r="AC6" s="295">
        <v>-0.22468254871586754</v>
      </c>
      <c r="AD6" s="295">
        <v>3.7871755531007981E-2</v>
      </c>
      <c r="AE6" s="295">
        <v>3.6631035691986787E-2</v>
      </c>
      <c r="AH6" s="291" vm="25">
        <v>45841</v>
      </c>
      <c r="AI6" s="21">
        <f t="shared" si="2"/>
        <v>2.1081184181578863</v>
      </c>
      <c r="AK6">
        <f>AVERAGE(A2:A6)</f>
        <v>208.012</v>
      </c>
    </row>
    <row r="7" spans="1:37" x14ac:dyDescent="0.3">
      <c r="A7" vm="6">
        <v>209.95</v>
      </c>
      <c r="B7" s="293">
        <f t="shared" si="0"/>
        <v>211.20079069207682</v>
      </c>
      <c r="C7" s="21">
        <f t="shared" si="1"/>
        <v>-0.20736995822691004</v>
      </c>
      <c r="D7" s="299" cm="1">
        <f t="array" ref="D7">AVERAGE(IF(((ROW($F$17:$R$28)-ROW($F$17)+1)+(COLUMN($F$17:$R$28)-COLUMN($F$17)+1)) = ROW()-ROW($D$2)+2, $F$17:$R$28))</f>
        <v>0.19090476509987012</v>
      </c>
      <c r="E7" s="298"/>
      <c r="F7" s="21" cm="1">
        <f t="array" ref="F7">INDEX($C$2:$C$25, ROW()-ROW($F$2)+1 + COLUMN()-COLUMN($F$2))</f>
        <v>-0.20736995822691004</v>
      </c>
      <c r="G7" s="21" cm="1">
        <f t="array" ref="G7">INDEX($C$2:$C$25, ROW()-ROW($F$2)+1 + COLUMN()-COLUMN($F$2))</f>
        <v>-0.18826485650926789</v>
      </c>
      <c r="H7" s="21" cm="1">
        <f t="array" ref="H7">INDEX($C$2:$C$25, ROW()-ROW($F$2)+1 + COLUMN()-COLUMN($F$2))</f>
        <v>0.17154789250631067</v>
      </c>
      <c r="I7" s="21" cm="1">
        <f t="array" ref="I7">INDEX($C$2:$C$25, ROW()-ROW($F$2)+1 + COLUMN()-COLUMN($F$2))</f>
        <v>0.57593921219639055</v>
      </c>
      <c r="J7" s="21" cm="1">
        <f t="array" ref="J7">INDEX($C$2:$C$25, ROW()-ROW($F$2)+1 + COLUMN()-COLUMN($F$2))</f>
        <v>0.17791625974552772</v>
      </c>
      <c r="K7" s="21" cm="1">
        <f t="array" ref="K7">INDEX($C$2:$C$25, ROW()-ROW($F$2)+1 + COLUMN()-COLUMN($F$2))</f>
        <v>-0.630866379634623</v>
      </c>
      <c r="L7" s="21" cm="1">
        <f t="array" ref="L7">INDEX($C$2:$C$25, ROW()-ROW($F$2)+1 + COLUMN()-COLUMN($F$2))</f>
        <v>-0.4748413822738819</v>
      </c>
      <c r="M7" s="21" cm="1">
        <f t="array" ref="M7">INDEX($C$2:$C$25, ROW()-ROW($F$2)+1 + COLUMN()-COLUMN($F$2))</f>
        <v>-0.14050210221516254</v>
      </c>
      <c r="N7" s="21" cm="1">
        <f t="array" ref="N7">INDEX($C$2:$C$25, ROW()-ROW($F$2)+1 + COLUMN()-COLUMN($F$2))</f>
        <v>-0.18508067288965485</v>
      </c>
      <c r="O7" s="21" cm="1">
        <f t="array" ref="O7">INDEX($C$2:$C$25, ROW()-ROW($F$2)+1 + COLUMN()-COLUMN($F$2))</f>
        <v>0.18428462698474479</v>
      </c>
      <c r="P7" s="21" cm="1">
        <f t="array" ref="P7">INDEX($C$2:$C$25, ROW()-ROW($F$2)+1 + COLUMN()-COLUMN($F$2))</f>
        <v>0.59822849753363672</v>
      </c>
      <c r="Q7" s="21" cm="1">
        <f t="array" ref="Q7">INDEX($C$2:$C$25, ROW()-ROW($F$2)+1 + COLUMN()-COLUMN($F$2))</f>
        <v>1.2095917524981672</v>
      </c>
      <c r="R7" s="21" cm="1">
        <f t="array" ref="R7">INDEX($C$2:$C$25, ROW()-ROW($F$2)+1 + COLUMN()-COLUMN($F$2))</f>
        <v>1.1299871620079944</v>
      </c>
      <c r="T7" s="295">
        <v>0.18410233910320389</v>
      </c>
      <c r="U7" s="295">
        <v>-1.3773551760727459E-2</v>
      </c>
      <c r="V7" s="295">
        <v>-0.48603110958168466</v>
      </c>
      <c r="W7" s="295">
        <v>-2.4344892189917568E-2</v>
      </c>
      <c r="X7" s="295">
        <v>-3.7406884204748546E-2</v>
      </c>
      <c r="Y7" s="295">
        <v>0.34202664844710018</v>
      </c>
      <c r="Z7" s="295">
        <v>0.24204644828804325</v>
      </c>
      <c r="AA7" s="295">
        <v>-0.12990639776835824</v>
      </c>
      <c r="AB7" s="295">
        <v>-0.28448135283894471</v>
      </c>
      <c r="AC7" s="295">
        <v>0.65465916753209508</v>
      </c>
      <c r="AD7" s="295">
        <v>-7.0042236833137116E-3</v>
      </c>
      <c r="AE7" s="295">
        <v>-0.16030196914417633</v>
      </c>
      <c r="AH7" s="291" vm="26">
        <v>45845</v>
      </c>
      <c r="AI7" s="21">
        <f t="shared" si="2"/>
        <v>-1.2507906920768335</v>
      </c>
      <c r="AK7">
        <f t="shared" ref="AK7:AK25" si="3">AVERAGE(A5:A7)</f>
        <v>211.98000000000002</v>
      </c>
    </row>
    <row r="8" spans="1:37" x14ac:dyDescent="0.3">
      <c r="A8" vm="7">
        <v>210.01</v>
      </c>
      <c r="B8" s="293">
        <f t="shared" si="0"/>
        <v>211.08989661785648</v>
      </c>
      <c r="C8" s="21">
        <f t="shared" si="1"/>
        <v>-0.18826485650926789</v>
      </c>
      <c r="D8" s="299" cm="1">
        <f t="array" ref="D8">AVERAGE(IF(((ROW($F$17:$R$28)-ROW($F$17)+1)+(COLUMN($F$17:$R$28)-COLUMN($F$17)+1)) = ROW()-ROW($D$2)+2, $F$17:$R$28))</f>
        <v>0.15559405563548245</v>
      </c>
      <c r="E8" s="298"/>
      <c r="F8" s="21" cm="1">
        <f t="array" ref="F8">INDEX($C$2:$C$25, ROW()-ROW($F$2)+1 + COLUMN()-COLUMN($F$2))</f>
        <v>-0.18826485650926789</v>
      </c>
      <c r="G8" s="21" cm="1">
        <f t="array" ref="G8">INDEX($C$2:$C$25, ROW()-ROW($F$2)+1 + COLUMN()-COLUMN($F$2))</f>
        <v>0.17154789250631067</v>
      </c>
      <c r="H8" s="21" cm="1">
        <f t="array" ref="H8">INDEX($C$2:$C$25, ROW()-ROW($F$2)+1 + COLUMN()-COLUMN($F$2))</f>
        <v>0.57593921219639055</v>
      </c>
      <c r="I8" s="21" cm="1">
        <f t="array" ref="I8">INDEX($C$2:$C$25, ROW()-ROW($F$2)+1 + COLUMN()-COLUMN($F$2))</f>
        <v>0.17791625974552772</v>
      </c>
      <c r="J8" s="21" cm="1">
        <f t="array" ref="J8">INDEX($C$2:$C$25, ROW()-ROW($F$2)+1 + COLUMN()-COLUMN($F$2))</f>
        <v>-0.630866379634623</v>
      </c>
      <c r="K8" s="21" cm="1">
        <f t="array" ref="K8">INDEX($C$2:$C$25, ROW()-ROW($F$2)+1 + COLUMN()-COLUMN($F$2))</f>
        <v>-0.4748413822738819</v>
      </c>
      <c r="L8" s="21" cm="1">
        <f t="array" ref="L8">INDEX($C$2:$C$25, ROW()-ROW($F$2)+1 + COLUMN()-COLUMN($F$2))</f>
        <v>-0.14050210221516254</v>
      </c>
      <c r="M8" s="21" cm="1">
        <f t="array" ref="M8">INDEX($C$2:$C$25, ROW()-ROW($F$2)+1 + COLUMN()-COLUMN($F$2))</f>
        <v>-0.18508067288965485</v>
      </c>
      <c r="N8" s="21" cm="1">
        <f t="array" ref="N8">INDEX($C$2:$C$25, ROW()-ROW($F$2)+1 + COLUMN()-COLUMN($F$2))</f>
        <v>0.18428462698474479</v>
      </c>
      <c r="O8" s="21" cm="1">
        <f t="array" ref="O8">INDEX($C$2:$C$25, ROW()-ROW($F$2)+1 + COLUMN()-COLUMN($F$2))</f>
        <v>0.59822849753363672</v>
      </c>
      <c r="P8" s="21" cm="1">
        <f t="array" ref="P8">INDEX($C$2:$C$25, ROW()-ROW($F$2)+1 + COLUMN()-COLUMN($F$2))</f>
        <v>1.2095917524981672</v>
      </c>
      <c r="Q8" s="21" cm="1">
        <f t="array" ref="Q8">INDEX($C$2:$C$25, ROW()-ROW($F$2)+1 + COLUMN()-COLUMN($F$2))</f>
        <v>1.1299871620079944</v>
      </c>
      <c r="R8" s="21" cm="1">
        <f t="array" ref="R8">INDEX($C$2:$C$25, ROW()-ROW($F$2)+1 + COLUMN()-COLUMN($F$2))</f>
        <v>1.0058040008433207</v>
      </c>
      <c r="T8" s="295">
        <v>0.30596308321051585</v>
      </c>
      <c r="U8" s="295">
        <v>-7.7010595380550106E-2</v>
      </c>
      <c r="V8" s="295">
        <v>-0.35466897098186223</v>
      </c>
      <c r="W8" s="295">
        <v>-0.36122352260502349</v>
      </c>
      <c r="X8" s="295">
        <v>4.1965288563970357E-4</v>
      </c>
      <c r="Y8" s="295">
        <v>-2.095571951135803E-2</v>
      </c>
      <c r="Z8" s="295">
        <v>0.43525046991920896</v>
      </c>
      <c r="AA8" s="295">
        <v>3.6242265363837345E-2</v>
      </c>
      <c r="AB8" s="295">
        <v>-0.15892308932592428</v>
      </c>
      <c r="AC8" s="295">
        <v>-0.47448521865330034</v>
      </c>
      <c r="AD8" s="295">
        <v>0.19194653646361456</v>
      </c>
      <c r="AE8" s="295">
        <v>0.40712579394668608</v>
      </c>
      <c r="AH8" s="291" vm="27">
        <v>45846</v>
      </c>
      <c r="AI8" s="21">
        <f t="shared" si="2"/>
        <v>-1.079896617856491</v>
      </c>
      <c r="AK8">
        <f t="shared" si="3"/>
        <v>211.17</v>
      </c>
    </row>
    <row r="9" spans="1:37" x14ac:dyDescent="0.3">
      <c r="A9" vm="8">
        <v>211.14</v>
      </c>
      <c r="B9" s="293">
        <f t="shared" si="0"/>
        <v>211.06461144343268</v>
      </c>
      <c r="C9" s="21">
        <f t="shared" si="1"/>
        <v>0.17154789250631067</v>
      </c>
      <c r="D9" s="299" cm="1">
        <f t="array" ref="D9">AVERAGE(IF(((ROW($F$17:$R$28)-ROW($F$17)+1)+(COLUMN($F$17:$R$28)-COLUMN($F$17)+1)) = ROW()-ROW($D$2)+2, $F$17:$R$28))</f>
        <v>0.14754279181357222</v>
      </c>
      <c r="E9" s="298"/>
      <c r="F9" s="21" cm="1">
        <f t="array" ref="F9">INDEX($C$2:$C$25, ROW()-ROW($F$2)+1 + COLUMN()-COLUMN($F$2))</f>
        <v>0.17154789250631067</v>
      </c>
      <c r="G9" s="21" cm="1">
        <f t="array" ref="G9">INDEX($C$2:$C$25, ROW()-ROW($F$2)+1 + COLUMN()-COLUMN($F$2))</f>
        <v>0.57593921219639055</v>
      </c>
      <c r="H9" s="21" cm="1">
        <f t="array" ref="H9">INDEX($C$2:$C$25, ROW()-ROW($F$2)+1 + COLUMN()-COLUMN($F$2))</f>
        <v>0.17791625974552772</v>
      </c>
      <c r="I9" s="21" cm="1">
        <f t="array" ref="I9">INDEX($C$2:$C$25, ROW()-ROW($F$2)+1 + COLUMN()-COLUMN($F$2))</f>
        <v>-0.630866379634623</v>
      </c>
      <c r="J9" s="21" cm="1">
        <f t="array" ref="J9">INDEX($C$2:$C$25, ROW()-ROW($F$2)+1 + COLUMN()-COLUMN($F$2))</f>
        <v>-0.4748413822738819</v>
      </c>
      <c r="K9" s="21" cm="1">
        <f t="array" ref="K9">INDEX($C$2:$C$25, ROW()-ROW($F$2)+1 + COLUMN()-COLUMN($F$2))</f>
        <v>-0.14050210221516254</v>
      </c>
      <c r="L9" s="21" cm="1">
        <f t="array" ref="L9">INDEX($C$2:$C$25, ROW()-ROW($F$2)+1 + COLUMN()-COLUMN($F$2))</f>
        <v>-0.18508067288965485</v>
      </c>
      <c r="M9" s="21" cm="1">
        <f t="array" ref="M9">INDEX($C$2:$C$25, ROW()-ROW($F$2)+1 + COLUMN()-COLUMN($F$2))</f>
        <v>0.18428462698474479</v>
      </c>
      <c r="N9" s="21" cm="1">
        <f t="array" ref="N9">INDEX($C$2:$C$25, ROW()-ROW($F$2)+1 + COLUMN()-COLUMN($F$2))</f>
        <v>0.59822849753363672</v>
      </c>
      <c r="O9" s="21" cm="1">
        <f t="array" ref="O9">INDEX($C$2:$C$25, ROW()-ROW($F$2)+1 + COLUMN()-COLUMN($F$2))</f>
        <v>1.2095917524981672</v>
      </c>
      <c r="P9" s="21" cm="1">
        <f t="array" ref="P9">INDEX($C$2:$C$25, ROW()-ROW($F$2)+1 + COLUMN()-COLUMN($F$2))</f>
        <v>1.1299871620079944</v>
      </c>
      <c r="Q9" s="21" cm="1">
        <f t="array" ref="Q9">INDEX($C$2:$C$25, ROW()-ROW($F$2)+1 + COLUMN()-COLUMN($F$2))</f>
        <v>1.0058040008433207</v>
      </c>
      <c r="R9" s="21" cm="1">
        <f t="array" ref="R9">INDEX($C$2:$C$25, ROW()-ROW($F$2)+1 + COLUMN()-COLUMN($F$2))</f>
        <v>1.0440142042786049</v>
      </c>
      <c r="T9" s="295">
        <v>0.41871045723060368</v>
      </c>
      <c r="U9" s="295">
        <v>-0.14044806148488018</v>
      </c>
      <c r="V9" s="295">
        <v>-0.14156907423361395</v>
      </c>
      <c r="W9" s="295">
        <v>-0.18225007496567744</v>
      </c>
      <c r="X9" s="295">
        <v>-0.23413193795924406</v>
      </c>
      <c r="Y9" s="295">
        <v>-0.40655451859329994</v>
      </c>
      <c r="Z9" s="295">
        <v>8.4859705153926476E-2</v>
      </c>
      <c r="AA9" s="295">
        <v>0.2549167774119368</v>
      </c>
      <c r="AB9" s="295">
        <v>0.34075403524425163</v>
      </c>
      <c r="AC9" s="295">
        <v>3.8750580282401886E-2</v>
      </c>
      <c r="AD9" s="295">
        <v>-0.45426867266622611</v>
      </c>
      <c r="AE9" s="295">
        <v>-0.36801627888856947</v>
      </c>
      <c r="AH9" s="291" vm="28">
        <v>45847</v>
      </c>
      <c r="AI9" s="21">
        <f t="shared" si="2"/>
        <v>7.5388556567304477E-2</v>
      </c>
      <c r="AK9">
        <f t="shared" si="3"/>
        <v>210.36666666666665</v>
      </c>
    </row>
    <row r="10" spans="1:37" x14ac:dyDescent="0.3">
      <c r="A10" vm="9">
        <v>212.41</v>
      </c>
      <c r="B10" s="293">
        <f t="shared" si="0"/>
        <v>210.92121130864538</v>
      </c>
      <c r="C10" s="21">
        <f t="shared" si="1"/>
        <v>0.57593921219639055</v>
      </c>
      <c r="D10" s="299" cm="1">
        <f t="array" ref="D10">AVERAGE(IF(((ROW($F$17:$R$28)-ROW($F$17)+1)+(COLUMN($F$17:$R$28)-COLUMN($F$17)+1)) = ROW()-ROW($D$2)+2, $F$17:$R$28))</f>
        <v>0.10188155578965152</v>
      </c>
      <c r="E10" s="298"/>
      <c r="F10" s="21" cm="1">
        <f t="array" ref="F10">INDEX($C$2:$C$25, ROW()-ROW($F$2)+1 + COLUMN()-COLUMN($F$2))</f>
        <v>0.57593921219639055</v>
      </c>
      <c r="G10" s="21" cm="1">
        <f t="array" ref="G10">INDEX($C$2:$C$25, ROW()-ROW($F$2)+1 + COLUMN()-COLUMN($F$2))</f>
        <v>0.17791625974552772</v>
      </c>
      <c r="H10" s="21" cm="1">
        <f t="array" ref="H10">INDEX($C$2:$C$25, ROW()-ROW($F$2)+1 + COLUMN()-COLUMN($F$2))</f>
        <v>-0.630866379634623</v>
      </c>
      <c r="I10" s="21" cm="1">
        <f t="array" ref="I10">INDEX($C$2:$C$25, ROW()-ROW($F$2)+1 + COLUMN()-COLUMN($F$2))</f>
        <v>-0.4748413822738819</v>
      </c>
      <c r="J10" s="21" cm="1">
        <f t="array" ref="J10">INDEX($C$2:$C$25, ROW()-ROW($F$2)+1 + COLUMN()-COLUMN($F$2))</f>
        <v>-0.14050210221516254</v>
      </c>
      <c r="K10" s="21" cm="1">
        <f t="array" ref="K10">INDEX($C$2:$C$25, ROW()-ROW($F$2)+1 + COLUMN()-COLUMN($F$2))</f>
        <v>-0.18508067288965485</v>
      </c>
      <c r="L10" s="21" cm="1">
        <f t="array" ref="L10">INDEX($C$2:$C$25, ROW()-ROW($F$2)+1 + COLUMN()-COLUMN($F$2))</f>
        <v>0.18428462698474479</v>
      </c>
      <c r="M10" s="21" cm="1">
        <f t="array" ref="M10">INDEX($C$2:$C$25, ROW()-ROW($F$2)+1 + COLUMN()-COLUMN($F$2))</f>
        <v>0.59822849753363672</v>
      </c>
      <c r="N10" s="21" cm="1">
        <f t="array" ref="N10">INDEX($C$2:$C$25, ROW()-ROW($F$2)+1 + COLUMN()-COLUMN($F$2))</f>
        <v>1.2095917524981672</v>
      </c>
      <c r="O10" s="21" cm="1">
        <f t="array" ref="O10">INDEX($C$2:$C$25, ROW()-ROW($F$2)+1 + COLUMN()-COLUMN($F$2))</f>
        <v>1.1299871620079944</v>
      </c>
      <c r="P10" s="21" cm="1">
        <f t="array" ref="P10">INDEX($C$2:$C$25, ROW()-ROW($F$2)+1 + COLUMN()-COLUMN($F$2))</f>
        <v>1.0058040008433207</v>
      </c>
      <c r="Q10" s="21" cm="1">
        <f t="array" ref="Q10">INDEX($C$2:$C$25, ROW()-ROW($F$2)+1 + COLUMN()-COLUMN($F$2))</f>
        <v>1.0440142042786049</v>
      </c>
      <c r="R10" s="21" cm="1">
        <f t="array" ref="R10">INDEX($C$2:$C$25, ROW()-ROW($F$2)+1 + COLUMN()-COLUMN($F$2))</f>
        <v>1.0981453258119274</v>
      </c>
      <c r="T10" s="295">
        <v>0.43787943535307222</v>
      </c>
      <c r="U10" s="295">
        <v>-0.25402857657139766</v>
      </c>
      <c r="V10" s="295">
        <v>-6.758653341690124E-2</v>
      </c>
      <c r="W10" s="295">
        <v>0.18549559618286254</v>
      </c>
      <c r="X10" s="295">
        <v>-5.8589853745708985E-2</v>
      </c>
      <c r="Y10" s="295">
        <v>-0.18258419833860579</v>
      </c>
      <c r="Z10" s="295">
        <v>-0.48439524396142852</v>
      </c>
      <c r="AA10" s="295">
        <v>0.27062541684931751</v>
      </c>
      <c r="AB10" s="295">
        <v>-8.4812939223046224E-2</v>
      </c>
      <c r="AC10" s="295">
        <v>0.14035219503327331</v>
      </c>
      <c r="AD10" s="295">
        <v>0.57254551059421865</v>
      </c>
      <c r="AE10" s="295">
        <v>7.3536131277880931E-2</v>
      </c>
      <c r="AH10" s="291" vm="29">
        <v>45848</v>
      </c>
      <c r="AI10" s="21">
        <f t="shared" si="2"/>
        <v>1.488788691354614</v>
      </c>
      <c r="AK10">
        <f t="shared" si="3"/>
        <v>211.18666666666664</v>
      </c>
    </row>
    <row r="11" spans="1:37" x14ac:dyDescent="0.3">
      <c r="A11" vm="10">
        <v>211.16</v>
      </c>
      <c r="B11" s="293">
        <f t="shared" si="0"/>
        <v>210.52696193824897</v>
      </c>
      <c r="C11" s="21">
        <f t="shared" si="1"/>
        <v>0.17791625974552772</v>
      </c>
      <c r="D11" s="299" cm="1">
        <f t="array" ref="D11">AVERAGE(IF(((ROW($F$17:$R$28)-ROW($F$17)+1)+(COLUMN($F$17:$R$28)-COLUMN($F$17)+1)) = ROW()-ROW($D$2)+2, $F$17:$R$28))</f>
        <v>-2.3654682936004923E-2</v>
      </c>
      <c r="E11" s="298"/>
      <c r="F11" s="21" cm="1">
        <f t="array" ref="F11">INDEX($C$2:$C$25, ROW()-ROW($F$2)+1 + COLUMN()-COLUMN($F$2))</f>
        <v>0.17791625974552772</v>
      </c>
      <c r="G11" s="21" cm="1">
        <f t="array" ref="G11">INDEX($C$2:$C$25, ROW()-ROW($F$2)+1 + COLUMN()-COLUMN($F$2))</f>
        <v>-0.630866379634623</v>
      </c>
      <c r="H11" s="21" cm="1">
        <f t="array" ref="H11">INDEX($C$2:$C$25, ROW()-ROW($F$2)+1 + COLUMN()-COLUMN($F$2))</f>
        <v>-0.4748413822738819</v>
      </c>
      <c r="I11" s="21" cm="1">
        <f t="array" ref="I11">INDEX($C$2:$C$25, ROW()-ROW($F$2)+1 + COLUMN()-COLUMN($F$2))</f>
        <v>-0.14050210221516254</v>
      </c>
      <c r="J11" s="21" cm="1">
        <f t="array" ref="J11">INDEX($C$2:$C$25, ROW()-ROW($F$2)+1 + COLUMN()-COLUMN($F$2))</f>
        <v>-0.18508067288965485</v>
      </c>
      <c r="K11" s="21" cm="1">
        <f t="array" ref="K11">INDEX($C$2:$C$25, ROW()-ROW($F$2)+1 + COLUMN()-COLUMN($F$2))</f>
        <v>0.18428462698474479</v>
      </c>
      <c r="L11" s="21" cm="1">
        <f t="array" ref="L11">INDEX($C$2:$C$25, ROW()-ROW($F$2)+1 + COLUMN()-COLUMN($F$2))</f>
        <v>0.59822849753363672</v>
      </c>
      <c r="M11" s="21" cm="1">
        <f t="array" ref="M11">INDEX($C$2:$C$25, ROW()-ROW($F$2)+1 + COLUMN()-COLUMN($F$2))</f>
        <v>1.2095917524981672</v>
      </c>
      <c r="N11" s="21" cm="1">
        <f t="array" ref="N11">INDEX($C$2:$C$25, ROW()-ROW($F$2)+1 + COLUMN()-COLUMN($F$2))</f>
        <v>1.1299871620079944</v>
      </c>
      <c r="O11" s="21" cm="1">
        <f t="array" ref="O11">INDEX($C$2:$C$25, ROW()-ROW($F$2)+1 + COLUMN()-COLUMN($F$2))</f>
        <v>1.0058040008433207</v>
      </c>
      <c r="P11" s="21" cm="1">
        <f t="array" ref="P11">INDEX($C$2:$C$25, ROW()-ROW($F$2)+1 + COLUMN()-COLUMN($F$2))</f>
        <v>1.0440142042786049</v>
      </c>
      <c r="Q11" s="21" cm="1">
        <f t="array" ref="Q11">INDEX($C$2:$C$25, ROW()-ROW($F$2)+1 + COLUMN()-COLUMN($F$2))</f>
        <v>1.0981453258119274</v>
      </c>
      <c r="R11" s="21" cm="1">
        <f t="array" ref="R11">INDEX($C$2:$C$25, ROW()-ROW($F$2)+1 + COLUMN()-COLUMN($F$2))</f>
        <v>0.21294227956120801</v>
      </c>
      <c r="T11" s="295">
        <v>0.28749466590714051</v>
      </c>
      <c r="U11" s="295">
        <v>-0.4183626242186062</v>
      </c>
      <c r="V11" s="295">
        <v>2.6532495613126154E-2</v>
      </c>
      <c r="W11" s="295">
        <v>7.4260183886591391E-2</v>
      </c>
      <c r="X11" s="295">
        <v>0.3050684206210581</v>
      </c>
      <c r="Y11" s="295">
        <v>0.22046813777049182</v>
      </c>
      <c r="Z11" s="295">
        <v>-0.34452564804300267</v>
      </c>
      <c r="AA11" s="295">
        <v>-0.22309817967171694</v>
      </c>
      <c r="AB11" s="295">
        <v>-0.15073753492869588</v>
      </c>
      <c r="AC11" s="295">
        <v>-7.9182087296079048E-2</v>
      </c>
      <c r="AD11" s="295">
        <v>-0.55269451088280863</v>
      </c>
      <c r="AE11" s="295">
        <v>0.30248056596756062</v>
      </c>
      <c r="AH11" s="291" vm="30">
        <v>45849</v>
      </c>
      <c r="AI11" s="21">
        <f t="shared" si="2"/>
        <v>0.63303806175102295</v>
      </c>
      <c r="AK11">
        <f t="shared" si="3"/>
        <v>211.56999999999996</v>
      </c>
    </row>
    <row r="12" spans="1:37" x14ac:dyDescent="0.3">
      <c r="A12" vm="11">
        <v>208.62</v>
      </c>
      <c r="B12" s="293">
        <f t="shared" si="0"/>
        <v>210.08496631036326</v>
      </c>
      <c r="C12" s="21">
        <f t="shared" si="1"/>
        <v>-0.630866379634623</v>
      </c>
      <c r="D12" s="299" cm="1">
        <f t="array" ref="D12">AVERAGE(IF(((ROW($F$17:$R$28)-ROW($F$17)+1)+(COLUMN($F$17:$R$28)-COLUMN($F$17)+1)) = ROW()-ROW($D$2)+2, $F$17:$R$28))</f>
        <v>-0.16439420676116467</v>
      </c>
      <c r="E12" s="298"/>
      <c r="F12" s="21" cm="1">
        <f t="array" ref="F12">INDEX($C$2:$C$25, ROW()-ROW($F$2)+1 + COLUMN()-COLUMN($F$2))</f>
        <v>-0.630866379634623</v>
      </c>
      <c r="G12" s="21" cm="1">
        <f t="array" ref="G12">INDEX($C$2:$C$25, ROW()-ROW($F$2)+1 + COLUMN()-COLUMN($F$2))</f>
        <v>-0.4748413822738819</v>
      </c>
      <c r="H12" s="21" cm="1">
        <f t="array" ref="H12">INDEX($C$2:$C$25, ROW()-ROW($F$2)+1 + COLUMN()-COLUMN($F$2))</f>
        <v>-0.14050210221516254</v>
      </c>
      <c r="I12" s="21" cm="1">
        <f t="array" ref="I12">INDEX($C$2:$C$25, ROW()-ROW($F$2)+1 + COLUMN()-COLUMN($F$2))</f>
        <v>-0.18508067288965485</v>
      </c>
      <c r="J12" s="21" cm="1">
        <f t="array" ref="J12">INDEX($C$2:$C$25, ROW()-ROW($F$2)+1 + COLUMN()-COLUMN($F$2))</f>
        <v>0.18428462698474479</v>
      </c>
      <c r="K12" s="21" cm="1">
        <f t="array" ref="K12">INDEX($C$2:$C$25, ROW()-ROW($F$2)+1 + COLUMN()-COLUMN($F$2))</f>
        <v>0.59822849753363672</v>
      </c>
      <c r="L12" s="21" cm="1">
        <f t="array" ref="L12">INDEX($C$2:$C$25, ROW()-ROW($F$2)+1 + COLUMN()-COLUMN($F$2))</f>
        <v>1.2095917524981672</v>
      </c>
      <c r="M12" s="21" cm="1">
        <f t="array" ref="M12">INDEX($C$2:$C$25, ROW()-ROW($F$2)+1 + COLUMN()-COLUMN($F$2))</f>
        <v>1.1299871620079944</v>
      </c>
      <c r="N12" s="21" cm="1">
        <f t="array" ref="N12">INDEX($C$2:$C$25, ROW()-ROW($F$2)+1 + COLUMN()-COLUMN($F$2))</f>
        <v>1.0058040008433207</v>
      </c>
      <c r="O12" s="21" cm="1">
        <f t="array" ref="O12">INDEX($C$2:$C$25, ROW()-ROW($F$2)+1 + COLUMN()-COLUMN($F$2))</f>
        <v>1.0440142042786049</v>
      </c>
      <c r="P12" s="21" cm="1">
        <f t="array" ref="P12">INDEX($C$2:$C$25, ROW()-ROW($F$2)+1 + COLUMN()-COLUMN($F$2))</f>
        <v>1.0981453258119274</v>
      </c>
      <c r="Q12" s="21" cm="1">
        <f t="array" ref="Q12">INDEX($C$2:$C$25, ROW()-ROW($F$2)+1 + COLUMN()-COLUMN($F$2))</f>
        <v>0.21294227956120801</v>
      </c>
      <c r="R12" s="21" cm="1">
        <f t="array" ref="R12">INDEX($C$2:$C$25, ROW()-ROW($F$2)+1 + COLUMN()-COLUMN($F$2))</f>
        <v>-0.49394648399152402</v>
      </c>
      <c r="T12" s="295">
        <v>8.3591836474356279E-2</v>
      </c>
      <c r="U12" s="295">
        <v>-0.49924125490438925</v>
      </c>
      <c r="V12" s="295">
        <v>0.22612432221251397</v>
      </c>
      <c r="W12" s="295">
        <v>-0.15090414286675718</v>
      </c>
      <c r="X12" s="295">
        <v>-5.0847149810428961E-2</v>
      </c>
      <c r="Y12" s="295">
        <v>0.14570592483227651</v>
      </c>
      <c r="Z12" s="295">
        <v>0.12903243576590606</v>
      </c>
      <c r="AA12" s="295">
        <v>-0.51632093848182681</v>
      </c>
      <c r="AB12" s="295">
        <v>0.10258651674407725</v>
      </c>
      <c r="AC12" s="295">
        <v>-0.17080921436138563</v>
      </c>
      <c r="AD12" s="295">
        <v>0.30343058336193213</v>
      </c>
      <c r="AE12" s="295">
        <v>-0.4806704428488226</v>
      </c>
      <c r="AH12" s="291" vm="31">
        <v>45852</v>
      </c>
      <c r="AI12" s="21">
        <f t="shared" si="2"/>
        <v>-1.464966310363252</v>
      </c>
      <c r="AK12">
        <f t="shared" si="3"/>
        <v>210.73000000000002</v>
      </c>
    </row>
    <row r="13" spans="1:37" x14ac:dyDescent="0.3">
      <c r="A13" vm="12">
        <v>209.11</v>
      </c>
      <c r="B13" s="293">
        <f t="shared" si="0"/>
        <v>209.87178320883407</v>
      </c>
      <c r="C13" s="21">
        <f t="shared" si="1"/>
        <v>-0.4748413822738819</v>
      </c>
      <c r="D13" s="299" cm="1">
        <f t="array" ref="D13">AVERAGE(IF(((ROW($F$17:$R$28)-ROW($F$17)+1)+(COLUMN($F$17:$R$28)-COLUMN($F$17)+1)) = ROW()-ROW($D$2)+2, $F$17:$R$28))</f>
        <v>-0.23227562074778499</v>
      </c>
      <c r="E13" s="298"/>
      <c r="F13" s="21" cm="1">
        <f t="array" ref="F13">INDEX($C$2:$C$25, ROW()-ROW($F$2)+1 + COLUMN()-COLUMN($F$2))</f>
        <v>-0.4748413822738819</v>
      </c>
      <c r="G13" s="21" cm="1">
        <f t="array" ref="G13">INDEX($C$2:$C$25, ROW()-ROW($F$2)+1 + COLUMN()-COLUMN($F$2))</f>
        <v>-0.14050210221516254</v>
      </c>
      <c r="H13" s="21" cm="1">
        <f t="array" ref="H13">INDEX($C$2:$C$25, ROW()-ROW($F$2)+1 + COLUMN()-COLUMN($F$2))</f>
        <v>-0.18508067288965485</v>
      </c>
      <c r="I13" s="21" cm="1">
        <f t="array" ref="I13">INDEX($C$2:$C$25, ROW()-ROW($F$2)+1 + COLUMN()-COLUMN($F$2))</f>
        <v>0.18428462698474479</v>
      </c>
      <c r="J13" s="21" cm="1">
        <f t="array" ref="J13">INDEX($C$2:$C$25, ROW()-ROW($F$2)+1 + COLUMN()-COLUMN($F$2))</f>
        <v>0.59822849753363672</v>
      </c>
      <c r="K13" s="21" cm="1">
        <f t="array" ref="K13">INDEX($C$2:$C$25, ROW()-ROW($F$2)+1 + COLUMN()-COLUMN($F$2))</f>
        <v>1.2095917524981672</v>
      </c>
      <c r="L13" s="21" cm="1">
        <f t="array" ref="L13">INDEX($C$2:$C$25, ROW()-ROW($F$2)+1 + COLUMN()-COLUMN($F$2))</f>
        <v>1.1299871620079944</v>
      </c>
      <c r="M13" s="21" cm="1">
        <f t="array" ref="M13">INDEX($C$2:$C$25, ROW()-ROW($F$2)+1 + COLUMN()-COLUMN($F$2))</f>
        <v>1.0058040008433207</v>
      </c>
      <c r="N13" s="21" cm="1">
        <f t="array" ref="N13">INDEX($C$2:$C$25, ROW()-ROW($F$2)+1 + COLUMN()-COLUMN($F$2))</f>
        <v>1.0440142042786049</v>
      </c>
      <c r="O13" s="21" cm="1">
        <f t="array" ref="O13">INDEX($C$2:$C$25, ROW()-ROW($F$2)+1 + COLUMN()-COLUMN($F$2))</f>
        <v>1.0981453258119274</v>
      </c>
      <c r="P13" s="21" cm="1">
        <f t="array" ref="P13">INDEX($C$2:$C$25, ROW()-ROW($F$2)+1 + COLUMN()-COLUMN($F$2))</f>
        <v>0.21294227956120801</v>
      </c>
      <c r="Q13" s="21" cm="1">
        <f t="array" ref="Q13">INDEX($C$2:$C$25, ROW()-ROW($F$2)+1 + COLUMN()-COLUMN($F$2))</f>
        <v>-0.49394648399152402</v>
      </c>
      <c r="R13" s="21" cm="1">
        <f t="array" ref="R13">INDEX($C$2:$C$25, ROW()-ROW($F$2)+1 + COLUMN()-COLUMN($F$2))</f>
        <v>-0.96520565969335148</v>
      </c>
      <c r="T13" s="295">
        <v>-7.3531586144305799E-2</v>
      </c>
      <c r="U13" s="295">
        <v>-0.43185684537391689</v>
      </c>
      <c r="V13" s="295">
        <v>0.45257476804866476</v>
      </c>
      <c r="W13" s="295">
        <v>2.5262660879198904E-2</v>
      </c>
      <c r="X13" s="295">
        <v>-0.28214534930254676</v>
      </c>
      <c r="Y13" s="295">
        <v>0.27024117572390627</v>
      </c>
      <c r="Z13" s="295">
        <v>0.35414003866144722</v>
      </c>
      <c r="AA13" s="295">
        <v>0.46761762886465941</v>
      </c>
      <c r="AB13" s="295">
        <v>-5.383348878175008E-3</v>
      </c>
      <c r="AC13" s="295">
        <v>0.21039283926789354</v>
      </c>
      <c r="AD13" s="295">
        <v>-3.8113846613338741E-2</v>
      </c>
      <c r="AE13" s="295">
        <v>0.24528789344749</v>
      </c>
      <c r="AH13" s="291" vm="32">
        <v>45853</v>
      </c>
      <c r="AI13" s="21">
        <f t="shared" si="2"/>
        <v>-0.76178320883406059</v>
      </c>
      <c r="AK13">
        <f t="shared" si="3"/>
        <v>209.63</v>
      </c>
    </row>
    <row r="14" spans="1:37" x14ac:dyDescent="0.3">
      <c r="A14" vm="13">
        <v>210.16</v>
      </c>
      <c r="B14" s="293">
        <f t="shared" si="0"/>
        <v>209.98888423954747</v>
      </c>
      <c r="C14" s="21">
        <f t="shared" si="1"/>
        <v>-0.14050210221516254</v>
      </c>
      <c r="D14" s="299" cm="1">
        <f t="array" ref="D14">AVERAGE(IF(((ROW($F$17:$R$28)-ROW($F$17)+1)+(COLUMN($F$17:$R$28)-COLUMN($F$17)+1)) = ROW()-ROW($D$2)+2, $F$17:$R$28))</f>
        <v>-0.19498850236411205</v>
      </c>
      <c r="E14" s="298"/>
      <c r="F14" s="21" t="str">
        <f ca="1">_xlfn.FORMULATEXT(F2)</f>
        <v>=INDEX($C$2:$C$25, ROW()-ROW($F$2)+1 + COLUMN()-COLUMN($F$2))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T14" t="str">
        <f ca="1">_xlfn.FORMULATEXT(T2)</f>
        <v>=SVD_U(F2:R13)</v>
      </c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H14" s="291" vm="33">
        <v>45854</v>
      </c>
      <c r="AI14" s="21">
        <f t="shared" si="2"/>
        <v>0.17111576045252264</v>
      </c>
      <c r="AK14">
        <f t="shared" si="3"/>
        <v>209.29666666666665</v>
      </c>
    </row>
    <row r="15" spans="1:37" x14ac:dyDescent="0.3">
      <c r="A15" vm="14">
        <v>210.02</v>
      </c>
      <c r="B15" s="293">
        <f t="shared" si="0"/>
        <v>210.46131074208884</v>
      </c>
      <c r="C15" s="21">
        <f t="shared" si="1"/>
        <v>-0.18508067288965485</v>
      </c>
      <c r="D15" s="299" cm="1">
        <f t="array" ref="D15">AVERAGE(IF(((ROW($F$17:$R$28)-ROW($F$17)+1)+(COLUMN($F$17:$R$28)-COLUMN($F$17)+1)) = ROW()-ROW($D$2)+2, $F$17:$R$28))</f>
        <v>-4.4559229278070697E-2</v>
      </c>
      <c r="E15" s="298"/>
      <c r="AH15" s="291" vm="34">
        <v>45855</v>
      </c>
      <c r="AI15" s="21">
        <f t="shared" si="2"/>
        <v>-0.44131074208883092</v>
      </c>
      <c r="AK15">
        <f t="shared" si="3"/>
        <v>209.76333333333332</v>
      </c>
    </row>
    <row r="16" spans="1:37" x14ac:dyDescent="0.3">
      <c r="A16" vm="15">
        <v>211.18</v>
      </c>
      <c r="B16" s="293">
        <f t="shared" si="0"/>
        <v>210.92540682577749</v>
      </c>
      <c r="C16" s="21">
        <f t="shared" si="1"/>
        <v>0.18428462698474479</v>
      </c>
      <c r="D16" s="299" cm="1">
        <f t="array" ref="D16">AVERAGE(IF(((ROW($F$17:$R$28)-ROW($F$17)+1)+(COLUMN($F$17:$R$28)-COLUMN($F$17)+1)) = ROW()-ROW($D$2)+2, $F$17:$R$28))</f>
        <v>0.10321748548243581</v>
      </c>
      <c r="E16" s="298"/>
      <c r="F16" t="s">
        <v>485</v>
      </c>
      <c r="T16" t="s">
        <v>15</v>
      </c>
      <c r="AH16" s="291" vm="35">
        <v>45856</v>
      </c>
      <c r="AI16" s="21">
        <f t="shared" si="2"/>
        <v>0.2545931742225207</v>
      </c>
      <c r="AK16">
        <f t="shared" si="3"/>
        <v>210.45333333333335</v>
      </c>
    </row>
    <row r="17" spans="1:44" x14ac:dyDescent="0.3">
      <c r="A17" vm="16">
        <v>212.48</v>
      </c>
      <c r="B17" s="293">
        <f t="shared" si="0"/>
        <v>211.29886697295095</v>
      </c>
      <c r="C17" s="21">
        <f t="shared" si="1"/>
        <v>0.59822849753363672</v>
      </c>
      <c r="D17" s="299" cm="1">
        <f t="array" ref="D17">AVERAGE(IF(((ROW($F$17:$R$28)-ROW($F$17)+1)+(COLUMN($F$17:$R$28)-COLUMN($F$17)+1)) = ROW()-ROW($D$2)+2, $F$17:$R$28))</f>
        <v>0.22213405380300993</v>
      </c>
      <c r="E17" s="298"/>
      <c r="F17" s="158" cm="1">
        <f t="array" ref="F17">$T$33 * INDEX($T$2:$AE$13, ROW()-ROW($F$17)+1, 1) * INDEX($T$17:$AF$29, COLUMN()-COLUMN($F$17)+1, 1)</f>
        <v>-1.3025487017845694</v>
      </c>
      <c r="G17" s="158" cm="1">
        <f t="array" ref="G17">$T$33 * INDEX($T$2:$AE$13, ROW()-ROW($F$17)+1, 1) * INDEX($T$17:$AF$29, COLUMN()-COLUMN($F$17)+1, 1)</f>
        <v>-0.62096679378573227</v>
      </c>
      <c r="H17" s="158" cm="1">
        <f t="array" ref="H17">$T$33 * INDEX($T$2:$AE$13, ROW()-ROW($F$17)+1, 1) * INDEX($T$17:$AF$29, COLUMN()-COLUMN($F$17)+1, 1)</f>
        <v>2.4834014987496631E-2</v>
      </c>
      <c r="I17" s="158" cm="1">
        <f t="array" ref="I17">$T$33 * INDEX($T$2:$AE$13, ROW()-ROW($F$17)+1, 1) * INDEX($T$17:$AF$29, COLUMN()-COLUMN($F$17)+1, 1)</f>
        <v>0.461389616690214</v>
      </c>
      <c r="J17" s="158" cm="1">
        <f t="array" ref="J17">$T$33 * INDEX($T$2:$AE$13, ROW()-ROW($F$17)+1, 1) * INDEX($T$17:$AF$29, COLUMN()-COLUMN($F$17)+1, 1)</f>
        <v>0.36349280766320402</v>
      </c>
      <c r="K17" s="158" cm="1">
        <f t="array" ref="K17">$T$33 * INDEX($T$2:$AE$13, ROW()-ROW($F$17)+1, 1) * INDEX($T$17:$AF$29, COLUMN()-COLUMN($F$17)+1, 1)</f>
        <v>6.9449349728373133E-2</v>
      </c>
      <c r="L17" s="158" cm="1">
        <f t="array" ref="L17">$T$33 * INDEX($T$2:$AE$13, ROW()-ROW($F$17)+1, 1) * INDEX($T$17:$AF$29, COLUMN()-COLUMN($F$17)+1, 1)</f>
        <v>3.2171363646735646E-2</v>
      </c>
      <c r="M17" s="158" cm="1">
        <f t="array" ref="M17">$T$33 * INDEX($T$2:$AE$13, ROW()-ROW($F$17)+1, 1) * INDEX($T$17:$AF$29, COLUMN()-COLUMN($F$17)+1, 1)</f>
        <v>-8.2057167109599247E-2</v>
      </c>
      <c r="N17" s="158" cm="1">
        <f t="array" ref="N17">$T$33 * INDEX($T$2:$AE$13, ROW()-ROW($F$17)+1, 1) * INDEX($T$17:$AF$29, COLUMN()-COLUMN($F$17)+1, 1)</f>
        <v>-0.38258178621626981</v>
      </c>
      <c r="O17" s="158" cm="1">
        <f t="array" ref="O17">$T$33 * INDEX($T$2:$AE$13, ROW()-ROW($F$17)+1, 1) * INDEX($T$17:$AF$29, COLUMN()-COLUMN($F$17)+1, 1)</f>
        <v>-0.8002268199101058</v>
      </c>
      <c r="P17" s="158" cm="1">
        <f t="array" ref="P17">$T$33 * INDEX($T$2:$AE$13, ROW()-ROW($F$17)+1, 1) * INDEX($T$17:$AF$29, COLUMN()-COLUMN($F$17)+1, 1)</f>
        <v>-1.1088078639892589</v>
      </c>
      <c r="Q17" s="158" cm="1">
        <f t="array" ref="Q17">$T$33 * INDEX($T$2:$AE$13, ROW()-ROW($F$17)+1, 1) * INDEX($T$17:$AF$29, COLUMN()-COLUMN($F$17)+1, 1)</f>
        <v>-1.1026766980338665</v>
      </c>
      <c r="R17" s="158" cm="1">
        <f t="array" ref="R17">$T$33 * INDEX($T$2:$AE$13, ROW()-ROW($F$17)+1, 1) * INDEX($T$17:$AF$29, COLUMN()-COLUMN($F$17)+1, 1)</f>
        <v>-0.94808771277999693</v>
      </c>
      <c r="T17" s="170" cm="1">
        <f t="array" ref="T17:AF29">[2]!SVD_V(F2:R13)</f>
        <v>0.50811845631880992</v>
      </c>
      <c r="U17" s="170">
        <v>0.43604781533084047</v>
      </c>
      <c r="V17" s="170">
        <v>0.4325267089837066</v>
      </c>
      <c r="W17" s="170">
        <v>0.33277498827320851</v>
      </c>
      <c r="X17" s="170">
        <v>0.37195662936300566</v>
      </c>
      <c r="Y17" s="170">
        <v>0.25387177629309754</v>
      </c>
      <c r="Z17" s="170">
        <v>1.5690199037329045E-2</v>
      </c>
      <c r="AA17" s="170">
        <v>5.0655154101101774E-2</v>
      </c>
      <c r="AB17" s="170">
        <v>8.0430275438767795E-2</v>
      </c>
      <c r="AC17" s="170">
        <v>4.1891692917473522E-2</v>
      </c>
      <c r="AD17" s="170">
        <v>8.9312562757629887E-2</v>
      </c>
      <c r="AE17" s="170">
        <v>0.17900080729786394</v>
      </c>
      <c r="AF17" s="170">
        <v>1.6384011939252208E-3</v>
      </c>
      <c r="AH17" s="291" vm="36">
        <v>45859</v>
      </c>
      <c r="AI17" s="21">
        <f t="shared" si="2"/>
        <v>1.181133027049043</v>
      </c>
      <c r="AK17">
        <f t="shared" si="3"/>
        <v>211.22666666666669</v>
      </c>
    </row>
    <row r="18" spans="1:44" x14ac:dyDescent="0.3">
      <c r="A18" vm="17">
        <v>214.4</v>
      </c>
      <c r="B18" s="293">
        <f t="shared" si="0"/>
        <v>211.60645264632674</v>
      </c>
      <c r="C18" s="21">
        <f t="shared" si="1"/>
        <v>1.2095917524981672</v>
      </c>
      <c r="D18" s="299" cm="1">
        <f t="array" ref="D18">AVERAGE(IF(((ROW($F$17:$R$28)-ROW($F$17)+1)+(COLUMN($F$17:$R$28)-COLUMN($F$17)+1)) = ROW()-ROW($D$2)+2, $F$17:$R$28))</f>
        <v>0.3200749800819026</v>
      </c>
      <c r="E18" s="298"/>
      <c r="F18" s="158" cm="1">
        <f t="array" ref="F18">$T$33 * INDEX($T$2:$AE$13, ROW()-ROW($F$17)+1, 1) * INDEX($T$17:$AF$29, COLUMN()-COLUMN($F$17)+1, 1)</f>
        <v>-0.87488205320404488</v>
      </c>
      <c r="G18" s="158" cm="1">
        <f t="array" ref="G18">$T$33 * INDEX($T$2:$AE$13, ROW()-ROW($F$17)+1, 1) * INDEX($T$17:$AF$29, COLUMN()-COLUMN($F$17)+1, 1)</f>
        <v>-0.41708436910994434</v>
      </c>
      <c r="H18" s="158" cm="1">
        <f t="array" ref="H18">$T$33 * INDEX($T$2:$AE$13, ROW()-ROW($F$17)+1, 1) * INDEX($T$17:$AF$29, COLUMN()-COLUMN($F$17)+1, 1)</f>
        <v>1.6680246958746352E-2</v>
      </c>
      <c r="I18" s="158" cm="1">
        <f t="array" ref="I18">$T$33 * INDEX($T$2:$AE$13, ROW()-ROW($F$17)+1, 1) * INDEX($T$17:$AF$29, COLUMN()-COLUMN($F$17)+1, 1)</f>
        <v>0.30990126866190981</v>
      </c>
      <c r="J18" s="158" cm="1">
        <f t="array" ref="J18">$T$33 * INDEX($T$2:$AE$13, ROW()-ROW($F$17)+1, 1) * INDEX($T$17:$AF$29, COLUMN()-COLUMN($F$17)+1, 1)</f>
        <v>0.24414698157357931</v>
      </c>
      <c r="K18" s="158" cm="1">
        <f t="array" ref="K18">$T$33 * INDEX($T$2:$AE$13, ROW()-ROW($F$17)+1, 1) * INDEX($T$17:$AF$29, COLUMN()-COLUMN($F$17)+1, 1)</f>
        <v>4.6647000300871704E-2</v>
      </c>
      <c r="L18" s="158" cm="1">
        <f t="array" ref="L18">$T$33 * INDEX($T$2:$AE$13, ROW()-ROW($F$17)+1, 1) * INDEX($T$17:$AF$29, COLUMN()-COLUMN($F$17)+1, 1)</f>
        <v>2.1608519238526858E-2</v>
      </c>
      <c r="M18" s="158" cm="1">
        <f t="array" ref="M18">$T$33 * INDEX($T$2:$AE$13, ROW()-ROW($F$17)+1, 1) * INDEX($T$17:$AF$29, COLUMN()-COLUMN($F$17)+1, 1)</f>
        <v>-5.5115284935293822E-2</v>
      </c>
      <c r="N18" s="158" cm="1">
        <f t="array" ref="N18">$T$33 * INDEX($T$2:$AE$13, ROW()-ROW($F$17)+1, 1) * INDEX($T$17:$AF$29, COLUMN()-COLUMN($F$17)+1, 1)</f>
        <v>-0.25696846358587822</v>
      </c>
      <c r="O18" s="158" cm="1">
        <f t="array" ref="O18">$T$33 * INDEX($T$2:$AE$13, ROW()-ROW($F$17)+1, 1) * INDEX($T$17:$AF$29, COLUMN()-COLUMN($F$17)+1, 1)</f>
        <v>-0.53748783617281448</v>
      </c>
      <c r="P18" s="158" cm="1">
        <f t="array" ref="P18">$T$33 * INDEX($T$2:$AE$13, ROW()-ROW($F$17)+1, 1) * INDEX($T$17:$AF$29, COLUMN()-COLUMN($F$17)+1, 1)</f>
        <v>-0.74475226863045663</v>
      </c>
      <c r="Q18" s="158" cm="1">
        <f t="array" ref="Q18">$T$33 * INDEX($T$2:$AE$13, ROW()-ROW($F$17)+1, 1) * INDEX($T$17:$AF$29, COLUMN()-COLUMN($F$17)+1, 1)</f>
        <v>-0.74063415231569663</v>
      </c>
      <c r="R18" s="158" cm="1">
        <f t="array" ref="R18">$T$33 * INDEX($T$2:$AE$13, ROW()-ROW($F$17)+1, 1) * INDEX($T$17:$AF$29, COLUMN()-COLUMN($F$17)+1, 1)</f>
        <v>-0.63680146749067734</v>
      </c>
      <c r="T18" s="170">
        <v>0.24223638490550059</v>
      </c>
      <c r="U18" s="170">
        <v>0.30960547977482888</v>
      </c>
      <c r="V18" s="170">
        <v>0.26718053257618091</v>
      </c>
      <c r="W18" s="170">
        <v>-0.32027275433939706</v>
      </c>
      <c r="X18" s="170">
        <v>-0.41237660504137769</v>
      </c>
      <c r="Y18" s="170">
        <v>-0.21474734722912639</v>
      </c>
      <c r="Z18" s="170">
        <v>-3.4977707772385735E-2</v>
      </c>
      <c r="AA18" s="170">
        <v>0.28307065869805198</v>
      </c>
      <c r="AB18" s="170">
        <v>-0.32277777554542281</v>
      </c>
      <c r="AC18" s="170">
        <v>0.31204706933015769</v>
      </c>
      <c r="AD18" s="170">
        <v>0.11976465484826782</v>
      </c>
      <c r="AE18" s="170">
        <v>-0.39491005505221866</v>
      </c>
      <c r="AF18" s="170">
        <v>-4.6110640653231935E-2</v>
      </c>
      <c r="AH18" s="291" vm="37">
        <v>45860</v>
      </c>
      <c r="AI18" s="21">
        <f t="shared" si="2"/>
        <v>2.7935473536732616</v>
      </c>
      <c r="AK18">
        <f t="shared" si="3"/>
        <v>212.68666666666664</v>
      </c>
    </row>
    <row r="19" spans="1:44" x14ac:dyDescent="0.3">
      <c r="A19" vm="18">
        <v>214.15</v>
      </c>
      <c r="B19" s="293">
        <f t="shared" si="0"/>
        <v>211.92610063736782</v>
      </c>
      <c r="C19" s="21">
        <f t="shared" si="1"/>
        <v>1.1299871620079944</v>
      </c>
      <c r="D19" s="299" cm="1">
        <f t="array" ref="D19">AVERAGE(IF(((ROW($F$17:$R$28)-ROW($F$17)+1)+(COLUMN($F$17:$R$28)-COLUMN($F$17)+1)) = ROW()-ROW($D$2)+2, $F$17:$R$28))</f>
        <v>0.42185676979323672</v>
      </c>
      <c r="E19" s="298"/>
      <c r="F19" s="158" cm="1">
        <f t="array" ref="F19">$T$33 * INDEX($T$2:$AE$13, ROW()-ROW($F$17)+1, 1) * INDEX($T$17:$AF$29, COLUMN()-COLUMN($F$17)+1, 1)</f>
        <v>-0.29167538143612215</v>
      </c>
      <c r="G19" s="158" cm="1">
        <f t="array" ref="G19">$T$33 * INDEX($T$2:$AE$13, ROW()-ROW($F$17)+1, 1) * INDEX($T$17:$AF$29, COLUMN()-COLUMN($F$17)+1, 1)</f>
        <v>-0.13905102065548341</v>
      </c>
      <c r="H19" s="158" cm="1">
        <f t="array" ref="H19">$T$33 * INDEX($T$2:$AE$13, ROW()-ROW($F$17)+1, 1) * INDEX($T$17:$AF$29, COLUMN()-COLUMN($F$17)+1, 1)</f>
        <v>5.5609980526213467E-3</v>
      </c>
      <c r="I19" s="158" cm="1">
        <f t="array" ref="I19">$T$33 * INDEX($T$2:$AE$13, ROW()-ROW($F$17)+1, 1) * INDEX($T$17:$AF$29, COLUMN()-COLUMN($F$17)+1, 1)</f>
        <v>0.10331743623436669</v>
      </c>
      <c r="J19" s="158" cm="1">
        <f t="array" ref="J19">$T$33 * INDEX($T$2:$AE$13, ROW()-ROW($F$17)+1, 1) * INDEX($T$17:$AF$29, COLUMN()-COLUMN($F$17)+1, 1)</f>
        <v>8.1395730677245065E-2</v>
      </c>
      <c r="K19" s="158" cm="1">
        <f t="array" ref="K19">$T$33 * INDEX($T$2:$AE$13, ROW()-ROW($F$17)+1, 1) * INDEX($T$17:$AF$29, COLUMN()-COLUMN($F$17)+1, 1)</f>
        <v>1.5551560985597726E-2</v>
      </c>
      <c r="L19" s="158" cm="1">
        <f t="array" ref="L19">$T$33 * INDEX($T$2:$AE$13, ROW()-ROW($F$17)+1, 1) * INDEX($T$17:$AF$29, COLUMN()-COLUMN($F$17)+1, 1)</f>
        <v>7.2040260376642559E-3</v>
      </c>
      <c r="M19" s="158" cm="1">
        <f t="array" ref="M19">$T$33 * INDEX($T$2:$AE$13, ROW()-ROW($F$17)+1, 1) * INDEX($T$17:$AF$29, COLUMN()-COLUMN($F$17)+1, 1)</f>
        <v>-1.8374787432875937E-2</v>
      </c>
      <c r="N19" s="158" cm="1">
        <f t="array" ref="N19">$T$33 * INDEX($T$2:$AE$13, ROW()-ROW($F$17)+1, 1) * INDEX($T$17:$AF$29, COLUMN()-COLUMN($F$17)+1, 1)</f>
        <v>-8.5670261904417774E-2</v>
      </c>
      <c r="O19" s="158" cm="1">
        <f t="array" ref="O19">$T$33 * INDEX($T$2:$AE$13, ROW()-ROW($F$17)+1, 1) * INDEX($T$17:$AF$29, COLUMN()-COLUMN($F$17)+1, 1)</f>
        <v>-0.17919211973641702</v>
      </c>
      <c r="P19" s="158" cm="1">
        <f t="array" ref="P19">$T$33 * INDEX($T$2:$AE$13, ROW()-ROW($F$17)+1, 1) * INDEX($T$17:$AF$29, COLUMN()-COLUMN($F$17)+1, 1)</f>
        <v>-0.2482916425507509</v>
      </c>
      <c r="Q19" s="158" cm="1">
        <f t="array" ref="Q19">$T$33 * INDEX($T$2:$AE$13, ROW()-ROW($F$17)+1, 1) * INDEX($T$17:$AF$29, COLUMN()-COLUMN($F$17)+1, 1)</f>
        <v>-0.2469187110310026</v>
      </c>
      <c r="R19" s="158" cm="1">
        <f t="array" ref="R19">$T$33 * INDEX($T$2:$AE$13, ROW()-ROW($F$17)+1, 1) * INDEX($T$17:$AF$29, COLUMN()-COLUMN($F$17)+1, 1)</f>
        <v>-0.21230211575286079</v>
      </c>
      <c r="T19" s="170">
        <v>-9.6876388133178542E-3</v>
      </c>
      <c r="U19" s="170">
        <v>0.13894903247837306</v>
      </c>
      <c r="V19" s="170">
        <v>-3.8790040364788538E-2</v>
      </c>
      <c r="W19" s="170">
        <v>-0.64498386137118324</v>
      </c>
      <c r="X19" s="170">
        <v>8.134869740474987E-2</v>
      </c>
      <c r="Y19" s="170">
        <v>0.22486679329601011</v>
      </c>
      <c r="Z19" s="170">
        <v>0.25749195812343301</v>
      </c>
      <c r="AA19" s="170">
        <v>0.21441061181238366</v>
      </c>
      <c r="AB19" s="170">
        <v>0.4920488163797424</v>
      </c>
      <c r="AC19" s="170">
        <v>9.9424359739932328E-2</v>
      </c>
      <c r="AD19" s="170">
        <v>3.6926817156488047E-3</v>
      </c>
      <c r="AE19" s="170">
        <v>0.16129590768258265</v>
      </c>
      <c r="AF19" s="170">
        <v>0.34000958276240706</v>
      </c>
      <c r="AH19" s="291" vm="38">
        <v>45861</v>
      </c>
      <c r="AI19" s="21">
        <f t="shared" si="2"/>
        <v>2.2238993626321815</v>
      </c>
      <c r="AK19">
        <f t="shared" si="3"/>
        <v>213.67666666666665</v>
      </c>
    </row>
    <row r="20" spans="1:44" x14ac:dyDescent="0.3">
      <c r="A20" vm="19">
        <v>213.76</v>
      </c>
      <c r="B20" s="293">
        <f t="shared" si="0"/>
        <v>212.19769279751711</v>
      </c>
      <c r="C20" s="21">
        <f t="shared" si="1"/>
        <v>1.0058040008433207</v>
      </c>
      <c r="D20" s="299" cm="1">
        <f t="array" ref="D20">AVERAGE(IF(((ROW($F$17:$R$28)-ROW($F$17)+1)+(COLUMN($F$17:$R$28)-COLUMN($F$17)+1)) = ROW()-ROW($D$2)+2, $F$17:$R$28))</f>
        <v>0.50833670054933167</v>
      </c>
      <c r="E20" s="298"/>
      <c r="F20" s="158" cm="1">
        <f t="array" ref="F20">$T$33 * INDEX($T$2:$AE$13, ROW()-ROW($F$17)+1, 1) * INDEX($T$17:$AF$29, COLUMN()-COLUMN($F$17)+1, 1)</f>
        <v>0.30701648539868176</v>
      </c>
      <c r="G20" s="158" cm="1">
        <f t="array" ref="G20">$T$33 * INDEX($T$2:$AE$13, ROW()-ROW($F$17)+1, 1) * INDEX($T$17:$AF$29, COLUMN()-COLUMN($F$17)+1, 1)</f>
        <v>0.14636461755033472</v>
      </c>
      <c r="H20" s="158" cm="1">
        <f t="array" ref="H20">$T$33 * INDEX($T$2:$AE$13, ROW()-ROW($F$17)+1, 1) * INDEX($T$17:$AF$29, COLUMN()-COLUMN($F$17)+1, 1)</f>
        <v>-5.8534870821747003E-3</v>
      </c>
      <c r="I20" s="158" cm="1">
        <f t="array" ref="I20">$T$33 * INDEX($T$2:$AE$13, ROW()-ROW($F$17)+1, 1) * INDEX($T$17:$AF$29, COLUMN()-COLUMN($F$17)+1, 1)</f>
        <v>-0.10875157168526577</v>
      </c>
      <c r="J20" s="158" cm="1">
        <f t="array" ref="J20">$T$33 * INDEX($T$2:$AE$13, ROW()-ROW($F$17)+1, 1) * INDEX($T$17:$AF$29, COLUMN()-COLUMN($F$17)+1, 1)</f>
        <v>-8.5676861159632356E-2</v>
      </c>
      <c r="K20" s="158" cm="1">
        <f t="array" ref="K20">$T$33 * INDEX($T$2:$AE$13, ROW()-ROW($F$17)+1, 1) * INDEX($T$17:$AF$29, COLUMN()-COLUMN($F$17)+1, 1)</f>
        <v>-1.6369518650332589E-2</v>
      </c>
      <c r="L20" s="158" cm="1">
        <f t="array" ref="L20">$T$33 * INDEX($T$2:$AE$13, ROW()-ROW($F$17)+1, 1) * INDEX($T$17:$AF$29, COLUMN()-COLUMN($F$17)+1, 1)</f>
        <v>-7.5829325872970631E-3</v>
      </c>
      <c r="M20" s="158" cm="1">
        <f t="array" ref="M20">$T$33 * INDEX($T$2:$AE$13, ROW()-ROW($F$17)+1, 1) * INDEX($T$17:$AF$29, COLUMN()-COLUMN($F$17)+1, 1)</f>
        <v>1.934123692514966E-2</v>
      </c>
      <c r="N20" s="158" cm="1">
        <f t="array" ref="N20">$T$33 * INDEX($T$2:$AE$13, ROW()-ROW($F$17)+1, 1) * INDEX($T$17:$AF$29, COLUMN()-COLUMN($F$17)+1, 1)</f>
        <v>9.0176217765019662E-2</v>
      </c>
      <c r="O20" s="158" cm="1">
        <f t="array" ref="O20">$T$33 * INDEX($T$2:$AE$13, ROW()-ROW($F$17)+1, 1) * INDEX($T$17:$AF$29, COLUMN()-COLUMN($F$17)+1, 1)</f>
        <v>0.18861699791644213</v>
      </c>
      <c r="P20" s="158" cm="1">
        <f t="array" ref="P20">$T$33 * INDEX($T$2:$AE$13, ROW()-ROW($F$17)+1, 1) * INDEX($T$17:$AF$29, COLUMN()-COLUMN($F$17)+1, 1)</f>
        <v>0.26135091372629904</v>
      </c>
      <c r="Q20" s="158" cm="1">
        <f t="array" ref="Q20">$T$33 * INDEX($T$2:$AE$13, ROW()-ROW($F$17)+1, 1) * INDEX($T$17:$AF$29, COLUMN()-COLUMN($F$17)+1, 1)</f>
        <v>0.25990577081498856</v>
      </c>
      <c r="R20" s="158" cm="1">
        <f t="array" ref="R20">$T$33 * INDEX($T$2:$AE$13, ROW()-ROW($F$17)+1, 1) * INDEX($T$17:$AF$29, COLUMN()-COLUMN($F$17)+1, 1)</f>
        <v>0.22346846381144483</v>
      </c>
      <c r="T20" s="170">
        <v>-0.17998603773736935</v>
      </c>
      <c r="U20" s="170">
        <v>-4.0228423712034694E-2</v>
      </c>
      <c r="V20" s="170">
        <v>-0.22106460866621991</v>
      </c>
      <c r="W20" s="170">
        <v>1.0131682315644548E-2</v>
      </c>
      <c r="X20" s="170">
        <v>0.16310215404971842</v>
      </c>
      <c r="Y20" s="170">
        <v>0.52709158478687979</v>
      </c>
      <c r="Z20" s="170">
        <v>0.35892281991744784</v>
      </c>
      <c r="AA20" s="170">
        <v>0.41577409261869158</v>
      </c>
      <c r="AB20" s="170">
        <v>-0.44336472245667646</v>
      </c>
      <c r="AC20" s="170">
        <v>4.4295977937288497E-2</v>
      </c>
      <c r="AD20" s="170">
        <v>0.17417813846643268</v>
      </c>
      <c r="AE20" s="170">
        <v>-6.791274914932712E-3</v>
      </c>
      <c r="AF20" s="170">
        <v>-0.28631170719977689</v>
      </c>
      <c r="AH20" s="291" vm="39">
        <v>45862</v>
      </c>
      <c r="AI20" s="21">
        <f t="shared" si="2"/>
        <v>1.5623072024828843</v>
      </c>
      <c r="AK20">
        <f t="shared" si="3"/>
        <v>214.10333333333332</v>
      </c>
    </row>
    <row r="21" spans="1:44" x14ac:dyDescent="0.3">
      <c r="A21" vm="20">
        <v>213.88</v>
      </c>
      <c r="B21" s="293">
        <f t="shared" si="0"/>
        <v>212.18861285780702</v>
      </c>
      <c r="C21" s="21">
        <f t="shared" si="1"/>
        <v>1.0440142042786049</v>
      </c>
      <c r="D21" s="299" cm="1">
        <f t="array" ref="D21">AVERAGE(IF(((ROW($F$17:$R$28)-ROW($F$17)+1)+(COLUMN($F$17:$R$28)-COLUMN($F$17)+1)) = ROW()-ROW($D$2)+2, $F$17:$R$28))</f>
        <v>0.50544548102013864</v>
      </c>
      <c r="E21" s="298"/>
      <c r="F21" s="158" cm="1">
        <f t="array" ref="F21">$T$33 * INDEX($T$2:$AE$13, ROW()-ROW($F$17)+1, 1) * INDEX($T$17:$AF$29, COLUMN()-COLUMN($F$17)+1, 1)</f>
        <v>0.51304296458487086</v>
      </c>
      <c r="G21" s="158" cm="1">
        <f t="array" ref="G21">$T$33 * INDEX($T$2:$AE$13, ROW()-ROW($F$17)+1, 1) * INDEX($T$17:$AF$29, COLUMN()-COLUMN($F$17)+1, 1)</f>
        <v>0.24458405613250167</v>
      </c>
      <c r="H21" s="158" cm="1">
        <f t="array" ref="H21">$T$33 * INDEX($T$2:$AE$13, ROW()-ROW($F$17)+1, 1) * INDEX($T$17:$AF$29, COLUMN()-COLUMN($F$17)+1, 1)</f>
        <v>-9.7815280567049596E-3</v>
      </c>
      <c r="I21" s="158" cm="1">
        <f t="array" ref="I21">$T$33 * INDEX($T$2:$AE$13, ROW()-ROW($F$17)+1, 1) * INDEX($T$17:$AF$29, COLUMN()-COLUMN($F$17)+1, 1)</f>
        <v>-0.18173040013867744</v>
      </c>
      <c r="J21" s="158" cm="1">
        <f t="array" ref="J21">$T$33 * INDEX($T$2:$AE$13, ROW()-ROW($F$17)+1, 1) * INDEX($T$17:$AF$29, COLUMN()-COLUMN($F$17)+1, 1)</f>
        <v>-0.14317117463117471</v>
      </c>
      <c r="K21" s="158" cm="1">
        <f t="array" ref="K21">$T$33 * INDEX($T$2:$AE$13, ROW()-ROW($F$17)+1, 1) * INDEX($T$17:$AF$29, COLUMN()-COLUMN($F$17)+1, 1)</f>
        <v>-2.7354447648921025E-2</v>
      </c>
      <c r="L21" s="158" cm="1">
        <f t="array" ref="L21">$T$33 * INDEX($T$2:$AE$13, ROW()-ROW($F$17)+1, 1) * INDEX($T$17:$AF$29, COLUMN()-COLUMN($F$17)+1, 1)</f>
        <v>-1.2671535242748286E-2</v>
      </c>
      <c r="M21" s="158" cm="1">
        <f t="array" ref="M21">$T$33 * INDEX($T$2:$AE$13, ROW()-ROW($F$17)+1, 1) * INDEX($T$17:$AF$29, COLUMN()-COLUMN($F$17)+1, 1)</f>
        <v>3.2320367155306375E-2</v>
      </c>
      <c r="N21" s="158" cm="1">
        <f t="array" ref="N21">$T$33 * INDEX($T$2:$AE$13, ROW()-ROW($F$17)+1, 1) * INDEX($T$17:$AF$29, COLUMN()-COLUMN($F$17)+1, 1)</f>
        <v>0.1506898694288005</v>
      </c>
      <c r="O21" s="158" cm="1">
        <f t="array" ref="O21">$T$33 * INDEX($T$2:$AE$13, ROW()-ROW($F$17)+1, 1) * INDEX($T$17:$AF$29, COLUMN()-COLUMN($F$17)+1, 1)</f>
        <v>0.31519031838466022</v>
      </c>
      <c r="P21" s="158" cm="1">
        <f t="array" ref="P21">$T$33 * INDEX($T$2:$AE$13, ROW()-ROW($F$17)+1, 1) * INDEX($T$17:$AF$29, COLUMN()-COLUMN($F$17)+1, 1)</f>
        <v>0.43673305490741904</v>
      </c>
      <c r="Q21" s="158" cm="1">
        <f t="array" ref="Q21">$T$33 * INDEX($T$2:$AE$13, ROW()-ROW($F$17)+1, 1) * INDEX($T$17:$AF$29, COLUMN()-COLUMN($F$17)+1, 1)</f>
        <v>0.43431813441054484</v>
      </c>
      <c r="R21" s="158" cm="1">
        <f t="array" ref="R21">$T$33 * INDEX($T$2:$AE$13, ROW()-ROW($F$17)+1, 1) * INDEX($T$17:$AF$29, COLUMN()-COLUMN($F$17)+1, 1)</f>
        <v>0.3734292085852367</v>
      </c>
      <c r="T21" s="170">
        <v>-0.14179692786900855</v>
      </c>
      <c r="U21" s="170">
        <v>-7.7759215928740341E-2</v>
      </c>
      <c r="V21" s="170">
        <v>9.810992774778822E-3</v>
      </c>
      <c r="W21" s="170">
        <v>0.41703988391219149</v>
      </c>
      <c r="X21" s="170">
        <v>-0.39048278393388675</v>
      </c>
      <c r="Y21" s="170">
        <v>0.31878337070682095</v>
      </c>
      <c r="Z21" s="170">
        <v>0.18360310047302866</v>
      </c>
      <c r="AA21" s="170">
        <v>-0.20239336691410256</v>
      </c>
      <c r="AB21" s="170">
        <v>0.23272941958106519</v>
      </c>
      <c r="AC21" s="170">
        <v>0.51583745363281996</v>
      </c>
      <c r="AD21" s="170">
        <v>0.23244704346661127</v>
      </c>
      <c r="AE21" s="170">
        <v>-0.15037886303270781</v>
      </c>
      <c r="AF21" s="170">
        <v>0.27232169946212414</v>
      </c>
      <c r="AH21" s="291" vm="40">
        <v>45863</v>
      </c>
      <c r="AI21" s="21">
        <f t="shared" si="2"/>
        <v>1.6913871421929798</v>
      </c>
      <c r="AK21">
        <f t="shared" si="3"/>
        <v>213.92999999999998</v>
      </c>
    </row>
    <row r="22" spans="1:44" x14ac:dyDescent="0.3">
      <c r="A22" s="294">
        <v>214.05</v>
      </c>
      <c r="B22" s="293">
        <f t="shared" si="0"/>
        <v>211.82961166118781</v>
      </c>
      <c r="C22" s="21">
        <f t="shared" si="1"/>
        <v>1.0981453258119274</v>
      </c>
      <c r="D22" s="299" cm="1">
        <f t="array" ref="D22">AVERAGE(IF(((ROW($F$17:$R$28)-ROW($F$17)+1)+(COLUMN($F$17:$R$28)-COLUMN($F$17)+1)) = ROW()-ROW($D$2)+2, $F$17:$R$28))</f>
        <v>0.39113290805072887</v>
      </c>
      <c r="E22" s="298"/>
      <c r="F22" s="158" cm="1">
        <f t="array" ref="F22">$T$33 * INDEX($T$2:$AE$13, ROW()-ROW($F$17)+1, 1) * INDEX($T$17:$AF$29, COLUMN()-COLUMN($F$17)+1, 1)</f>
        <v>0.4897842540125748</v>
      </c>
      <c r="G22" s="158" cm="1">
        <f t="array" ref="G22">$T$33 * INDEX($T$2:$AE$13, ROW()-ROW($F$17)+1, 1) * INDEX($T$17:$AF$29, COLUMN()-COLUMN($F$17)+1, 1)</f>
        <v>0.23349588191538301</v>
      </c>
      <c r="H22" s="158" cm="1">
        <f t="array" ref="H22">$T$33 * INDEX($T$2:$AE$13, ROW()-ROW($F$17)+1, 1) * INDEX($T$17:$AF$29, COLUMN()-COLUMN($F$17)+1, 1)</f>
        <v>-9.3380842406304496E-3</v>
      </c>
      <c r="I22" s="158" cm="1">
        <f t="array" ref="I22">$T$33 * INDEX($T$2:$AE$13, ROW()-ROW($F$17)+1, 1) * INDEX($T$17:$AF$29, COLUMN()-COLUMN($F$17)+1, 1)</f>
        <v>-0.17349168511715252</v>
      </c>
      <c r="J22" s="158" cm="1">
        <f t="array" ref="J22">$T$33 * INDEX($T$2:$AE$13, ROW()-ROW($F$17)+1, 1) * INDEX($T$17:$AF$29, COLUMN()-COLUMN($F$17)+1, 1)</f>
        <v>-0.13668053516643394</v>
      </c>
      <c r="K22" s="158" cm="1">
        <f t="array" ref="K22">$T$33 * INDEX($T$2:$AE$13, ROW()-ROW($F$17)+1, 1) * INDEX($T$17:$AF$29, COLUMN()-COLUMN($F$17)+1, 1)</f>
        <v>-2.6114338682128965E-2</v>
      </c>
      <c r="L22" s="158" cm="1">
        <f t="array" ref="L22">$T$33 * INDEX($T$2:$AE$13, ROW()-ROW($F$17)+1, 1) * INDEX($T$17:$AF$29, COLUMN()-COLUMN($F$17)+1, 1)</f>
        <v>-1.2097073470416591E-2</v>
      </c>
      <c r="M22" s="158" cm="1">
        <f t="array" ref="M22">$T$33 * INDEX($T$2:$AE$13, ROW()-ROW($F$17)+1, 1) * INDEX($T$17:$AF$29, COLUMN()-COLUMN($F$17)+1, 1)</f>
        <v>3.0855129120390765E-2</v>
      </c>
      <c r="N22" s="158" cm="1">
        <f t="array" ref="N22">$T$33 * INDEX($T$2:$AE$13, ROW()-ROW($F$17)+1, 1) * INDEX($T$17:$AF$29, COLUMN()-COLUMN($F$17)+1, 1)</f>
        <v>0.1438583712870074</v>
      </c>
      <c r="O22" s="158" cm="1">
        <f t="array" ref="O22">$T$33 * INDEX($T$2:$AE$13, ROW()-ROW($F$17)+1, 1) * INDEX($T$17:$AF$29, COLUMN()-COLUMN($F$17)+1, 1)</f>
        <v>0.30090122196087338</v>
      </c>
      <c r="P22" s="158" cm="1">
        <f t="array" ref="P22">$T$33 * INDEX($T$2:$AE$13, ROW()-ROW($F$17)+1, 1) * INDEX($T$17:$AF$29, COLUMN()-COLUMN($F$17)+1, 1)</f>
        <v>0.4169338403725007</v>
      </c>
      <c r="Q22" s="158" cm="1">
        <f t="array" ref="Q22">$T$33 * INDEX($T$2:$AE$13, ROW()-ROW($F$17)+1, 1) * INDEX($T$17:$AF$29, COLUMN()-COLUMN($F$17)+1, 1)</f>
        <v>0.41462839986223421</v>
      </c>
      <c r="R22" s="158" cm="1">
        <f t="array" ref="R22">$T$33 * INDEX($T$2:$AE$13, ROW()-ROW($F$17)+1, 1) * INDEX($T$17:$AF$29, COLUMN()-COLUMN($F$17)+1, 1)</f>
        <v>0.35649986254351973</v>
      </c>
      <c r="T22" s="170">
        <v>-2.7091882497735992E-2</v>
      </c>
      <c r="U22" s="170">
        <v>-0.10120115710160159</v>
      </c>
      <c r="V22" s="170">
        <v>0.38584369722385348</v>
      </c>
      <c r="W22" s="170">
        <v>5.2647031950267265E-2</v>
      </c>
      <c r="X22" s="170">
        <v>-0.4212802338083097</v>
      </c>
      <c r="Y22" s="170">
        <v>0.397684662809345</v>
      </c>
      <c r="Z22" s="170">
        <v>4.1909363614886175E-2</v>
      </c>
      <c r="AA22" s="170">
        <v>0.13975641615227943</v>
      </c>
      <c r="AB22" s="170">
        <v>0.15004398363327576</v>
      </c>
      <c r="AC22" s="170">
        <v>-0.45458009510511893</v>
      </c>
      <c r="AD22" s="170">
        <v>-0.4621800341467458</v>
      </c>
      <c r="AE22" s="170">
        <v>-0.16815713304278571</v>
      </c>
      <c r="AF22" s="170">
        <v>-9.7033214676193344E-2</v>
      </c>
      <c r="AH22" s="291">
        <v>45866</v>
      </c>
      <c r="AI22" s="21">
        <f t="shared" si="2"/>
        <v>2.2203883388121994</v>
      </c>
      <c r="AK22">
        <f t="shared" si="3"/>
        <v>213.89666666666668</v>
      </c>
    </row>
    <row r="23" spans="1:44" x14ac:dyDescent="0.3">
      <c r="A23" s="294">
        <v>211.27</v>
      </c>
      <c r="B23" s="293">
        <f t="shared" si="0"/>
        <v>211.20679252359827</v>
      </c>
      <c r="C23" s="21">
        <f t="shared" si="1"/>
        <v>0.21294227956120801</v>
      </c>
      <c r="D23" s="299" cm="1">
        <f t="array" ref="D23">AVERAGE(IF(((ROW($F$17:$R$28)-ROW($F$17)+1)+(COLUMN($F$17:$R$28)-COLUMN($F$17)+1)) = ROW()-ROW($D$2)+2, $F$17:$R$28))</f>
        <v>0.19281585846169647</v>
      </c>
      <c r="E23" s="298"/>
      <c r="F23" s="158" cm="1">
        <f t="array" ref="F23">$T$33 * INDEX($T$2:$AE$13, ROW()-ROW($F$17)+1, 1) * INDEX($T$17:$AF$29, COLUMN()-COLUMN($F$17)+1, 1)</f>
        <v>0.81398151265011254</v>
      </c>
      <c r="G23" s="158" cm="1">
        <f t="array" ref="G23">$T$33 * INDEX($T$2:$AE$13, ROW()-ROW($F$17)+1, 1) * INDEX($T$17:$AF$29, COLUMN()-COLUMN($F$17)+1, 1)</f>
        <v>0.38805112578032341</v>
      </c>
      <c r="H23" s="158" cm="1">
        <f t="array" ref="H23">$T$33 * INDEX($T$2:$AE$13, ROW()-ROW($F$17)+1, 1) * INDEX($T$17:$AF$29, COLUMN()-COLUMN($F$17)+1, 1)</f>
        <v>-1.551913495211588E-2</v>
      </c>
      <c r="I23" s="158" cm="1">
        <f t="array" ref="I23">$T$33 * INDEX($T$2:$AE$13, ROW()-ROW($F$17)+1, 1) * INDEX($T$17:$AF$29, COLUMN()-COLUMN($F$17)+1, 1)</f>
        <v>-0.28832904105620993</v>
      </c>
      <c r="J23" s="158" cm="1">
        <f t="array" ref="J23">$T$33 * INDEX($T$2:$AE$13, ROW()-ROW($F$17)+1, 1) * INDEX($T$17:$AF$29, COLUMN()-COLUMN($F$17)+1, 1)</f>
        <v>-0.22715190995450912</v>
      </c>
      <c r="K23" s="158" cm="1">
        <f t="array" ref="K23">$T$33 * INDEX($T$2:$AE$13, ROW()-ROW($F$17)+1, 1) * INDEX($T$17:$AF$29, COLUMN()-COLUMN($F$17)+1, 1)</f>
        <v>-4.3399902565652793E-2</v>
      </c>
      <c r="L23" s="158" cm="1">
        <f t="array" ref="L23">$T$33 * INDEX($T$2:$AE$13, ROW()-ROW($F$17)+1, 1) * INDEX($T$17:$AF$29, COLUMN()-COLUMN($F$17)+1, 1)</f>
        <v>-2.0104350193823166E-2</v>
      </c>
      <c r="M23" s="158" cm="1">
        <f t="array" ref="M23">$T$33 * INDEX($T$2:$AE$13, ROW()-ROW($F$17)+1, 1) * INDEX($T$17:$AF$29, COLUMN()-COLUMN($F$17)+1, 1)</f>
        <v>5.1278709898635068E-2</v>
      </c>
      <c r="N23" s="158" cm="1">
        <f t="array" ref="N23">$T$33 * INDEX($T$2:$AE$13, ROW()-ROW($F$17)+1, 1) * INDEX($T$17:$AF$29, COLUMN()-COLUMN($F$17)+1, 1)</f>
        <v>0.23908088859176232</v>
      </c>
      <c r="O23" s="158" cm="1">
        <f t="array" ref="O23">$T$33 * INDEX($T$2:$AE$13, ROW()-ROW($F$17)+1, 1) * INDEX($T$17:$AF$29, COLUMN()-COLUMN($F$17)+1, 1)</f>
        <v>0.50007330738666556</v>
      </c>
      <c r="P23" s="158" cm="1">
        <f t="array" ref="P23">$T$33 * INDEX($T$2:$AE$13, ROW()-ROW($F$17)+1, 1) * INDEX($T$17:$AF$29, COLUMN()-COLUMN($F$17)+1, 1)</f>
        <v>0.69291006250420517</v>
      </c>
      <c r="Q23" s="158" cm="1">
        <f t="array" ref="Q23">$T$33 * INDEX($T$2:$AE$13, ROW()-ROW($F$17)+1, 1) * INDEX($T$17:$AF$29, COLUMN()-COLUMN($F$17)+1, 1)</f>
        <v>0.68907860827002432</v>
      </c>
      <c r="R23" s="158" cm="1">
        <f t="array" ref="R23">$T$33 * INDEX($T$2:$AE$13, ROW()-ROW($F$17)+1, 1) * INDEX($T$17:$AF$29, COLUMN()-COLUMN($F$17)+1, 1)</f>
        <v>0.592473716734228</v>
      </c>
      <c r="T23" s="170">
        <v>-1.2549905897149348E-2</v>
      </c>
      <c r="U23" s="170">
        <v>-0.26495933187004422</v>
      </c>
      <c r="V23" s="170">
        <v>0.36365074567661615</v>
      </c>
      <c r="W23" s="170">
        <v>-0.29245763070744935</v>
      </c>
      <c r="X23" s="170">
        <v>-0.16598222250278077</v>
      </c>
      <c r="Y23" s="170">
        <v>0.25058821098738754</v>
      </c>
      <c r="Z23" s="170">
        <v>-0.23479105394972571</v>
      </c>
      <c r="AA23" s="170">
        <v>-0.2882953217960727</v>
      </c>
      <c r="AB23" s="170">
        <v>-0.34762388540807687</v>
      </c>
      <c r="AC23" s="170">
        <v>-9.9897842397068462E-2</v>
      </c>
      <c r="AD23" s="170">
        <v>0.38625346087917334</v>
      </c>
      <c r="AE23" s="170">
        <v>0.42316227608462054</v>
      </c>
      <c r="AF23" s="170">
        <v>0.15556396724680666</v>
      </c>
      <c r="AH23" s="291">
        <v>45867</v>
      </c>
      <c r="AI23" s="21">
        <f t="shared" si="2"/>
        <v>6.3207476401743179E-2</v>
      </c>
      <c r="AK23">
        <f t="shared" si="3"/>
        <v>213.06666666666669</v>
      </c>
    </row>
    <row r="24" spans="1:44" x14ac:dyDescent="0.3">
      <c r="A24" s="294">
        <v>209.05</v>
      </c>
      <c r="B24" s="293">
        <f t="shared" si="0"/>
        <v>210.59538350968592</v>
      </c>
      <c r="C24" s="21">
        <f t="shared" si="1"/>
        <v>-0.49394648399152402</v>
      </c>
      <c r="D24" s="299" cm="1">
        <f t="array" ref="D24">AVERAGE(IF(((ROW($F$17:$R$28)-ROW($F$17)+1)+(COLUMN($F$17:$R$28)-COLUMN($F$17)+1)) = ROW()-ROW($D$2)+2, $F$17:$R$28))</f>
        <v>-1.8679982362733022E-3</v>
      </c>
      <c r="E24" s="298"/>
      <c r="F24" s="158" cm="1">
        <f t="array" ref="F24">$T$33 * INDEX($T$2:$AE$13, ROW()-ROW($F$17)+1, 1) * INDEX($T$17:$AF$29, COLUMN()-COLUMN($F$17)+1, 1)</f>
        <v>1.1139336411526692</v>
      </c>
      <c r="G24" s="158" cm="1">
        <f t="array" ref="G24">$T$33 * INDEX($T$2:$AE$13, ROW()-ROW($F$17)+1, 1) * INDEX($T$17:$AF$29, COLUMN()-COLUMN($F$17)+1, 1)</f>
        <v>0.53104793754655588</v>
      </c>
      <c r="H24" s="158" cm="1">
        <f t="array" ref="H24">$T$33 * INDEX($T$2:$AE$13, ROW()-ROW($F$17)+1, 1) * INDEX($T$17:$AF$29, COLUMN()-COLUMN($F$17)+1, 1)</f>
        <v>-2.1237935058828518E-2</v>
      </c>
      <c r="I24" s="158" cm="1">
        <f t="array" ref="I24">$T$33 * INDEX($T$2:$AE$13, ROW()-ROW($F$17)+1, 1) * INDEX($T$17:$AF$29, COLUMN()-COLUMN($F$17)+1, 1)</f>
        <v>-0.39457827181863692</v>
      </c>
      <c r="J24" s="158" cm="1">
        <f t="array" ref="J24">$T$33 * INDEX($T$2:$AE$13, ROW()-ROW($F$17)+1, 1) * INDEX($T$17:$AF$29, COLUMN()-COLUMN($F$17)+1, 1)</f>
        <v>-0.31085737233343613</v>
      </c>
      <c r="K24" s="158" cm="1">
        <f t="array" ref="K24">$T$33 * INDEX($T$2:$AE$13, ROW()-ROW($F$17)+1, 1) * INDEX($T$17:$AF$29, COLUMN()-COLUMN($F$17)+1, 1)</f>
        <v>-5.9392763520182627E-2</v>
      </c>
      <c r="L24" s="158" cm="1">
        <f t="array" ref="L24">$T$33 * INDEX($T$2:$AE$13, ROW()-ROW($F$17)+1, 1) * INDEX($T$17:$AF$29, COLUMN()-COLUMN($F$17)+1, 1)</f>
        <v>-2.7512801785266338E-2</v>
      </c>
      <c r="M24" s="158" cm="1">
        <f t="array" ref="M24">$T$33 * INDEX($T$2:$AE$13, ROW()-ROW($F$17)+1, 1) * INDEX($T$17:$AF$29, COLUMN()-COLUMN($F$17)+1, 1)</f>
        <v>7.0174910785168285E-2</v>
      </c>
      <c r="N24" s="158" cm="1">
        <f t="array" ref="N24">$T$33 * INDEX($T$2:$AE$13, ROW()-ROW($F$17)+1, 1) * INDEX($T$17:$AF$29, COLUMN()-COLUMN($F$17)+1, 1)</f>
        <v>0.32718217873519984</v>
      </c>
      <c r="O24" s="158" cm="1">
        <f t="array" ref="O24">$T$33 * INDEX($T$2:$AE$13, ROW()-ROW($F$17)+1, 1) * INDEX($T$17:$AF$29, COLUMN()-COLUMN($F$17)+1, 1)</f>
        <v>0.68435028496762906</v>
      </c>
      <c r="P24" s="158" cm="1">
        <f t="array" ref="P24">$T$33 * INDEX($T$2:$AE$13, ROW()-ROW($F$17)+1, 1) * INDEX($T$17:$AF$29, COLUMN()-COLUMN($F$17)+1, 1)</f>
        <v>0.94824737039010942</v>
      </c>
      <c r="Q24" s="158" cm="1">
        <f t="array" ref="Q24">$T$33 * INDEX($T$2:$AE$13, ROW()-ROW($F$17)+1, 1) * INDEX($T$17:$AF$29, COLUMN()-COLUMN($F$17)+1, 1)</f>
        <v>0.94300402554792084</v>
      </c>
      <c r="R24" s="158" cm="1">
        <f t="array" ref="R24">$T$33 * INDEX($T$2:$AE$13, ROW()-ROW($F$17)+1, 1) * INDEX($T$17:$AF$29, COLUMN()-COLUMN($F$17)+1, 1)</f>
        <v>0.81080023847261806</v>
      </c>
      <c r="T24" s="170">
        <v>3.2010135992995792E-2</v>
      </c>
      <c r="U24" s="170">
        <v>-0.40846087939820053</v>
      </c>
      <c r="V24" s="170">
        <v>0.17178453315663256</v>
      </c>
      <c r="W24" s="170">
        <v>-0.16107408547407776</v>
      </c>
      <c r="X24" s="170">
        <v>0.27310175720756102</v>
      </c>
      <c r="Y24" s="170">
        <v>0.19326456257218452</v>
      </c>
      <c r="Z24" s="170">
        <v>-0.43600908616665224</v>
      </c>
      <c r="AA24" s="170">
        <v>6.2538272281000534E-2</v>
      </c>
      <c r="AB24" s="170">
        <v>0.19811683735013647</v>
      </c>
      <c r="AC24" s="170">
        <v>0.48692486099628712</v>
      </c>
      <c r="AD24" s="170">
        <v>-0.17268113066439497</v>
      </c>
      <c r="AE24" s="170">
        <v>-0.14591906042049829</v>
      </c>
      <c r="AF24" s="170">
        <v>-0.37851328657861016</v>
      </c>
      <c r="AH24" s="291">
        <v>45868</v>
      </c>
      <c r="AI24" s="21">
        <f t="shared" si="2"/>
        <v>-1.5453835096859052</v>
      </c>
      <c r="AK24">
        <f t="shared" si="3"/>
        <v>211.45666666666671</v>
      </c>
    </row>
    <row r="25" spans="1:44" x14ac:dyDescent="0.3">
      <c r="A25" s="294">
        <v>207.57</v>
      </c>
      <c r="B25" s="293">
        <f t="shared" si="0"/>
        <v>210.15407667323723</v>
      </c>
      <c r="C25" s="21">
        <f t="shared" si="1"/>
        <v>-0.96520565969335148</v>
      </c>
      <c r="D25" s="299" cm="1">
        <f t="array" ref="D25">AVERAGE(IF(((ROW($F$17:$R$28)-ROW($F$17)+1)+(COLUMN($F$17:$R$28)-COLUMN($F$17)+1)) = ROW()-ROW($D$2)+2, $F$17:$R$28))</f>
        <v>-0.14238819822032237</v>
      </c>
      <c r="E25" s="298" t="str">
        <f ca="1">_xlfn.FORMULATEXT(D2)</f>
        <v>=AVERAGE(IF(((ROW($F$17:$R$28)-ROW($F$17)+1)+(COLUMN($F$17:$R$28)-COLUMN($F$17)+1)) = ROW()-ROW($D$2)+2, $F$17:$R$28))</v>
      </c>
      <c r="F25" s="158" cm="1">
        <f t="array" ref="F25">$T$33 * INDEX($T$2:$AE$13, ROW()-ROW($F$17)+1, 1) * INDEX($T$17:$AF$29, COLUMN()-COLUMN($F$17)+1, 1)</f>
        <v>1.164930623024983</v>
      </c>
      <c r="G25" s="158" cm="1">
        <f t="array" ref="G25">$T$33 * INDEX($T$2:$AE$13, ROW()-ROW($F$17)+1, 1) * INDEX($T$17:$AF$29, COLUMN()-COLUMN($F$17)+1, 1)</f>
        <v>0.55535983642804376</v>
      </c>
      <c r="H25" s="158" cm="1">
        <f t="array" ref="H25">$T$33 * INDEX($T$2:$AE$13, ROW()-ROW($F$17)+1, 1) * INDEX($T$17:$AF$29, COLUMN()-COLUMN($F$17)+1, 1)</f>
        <v>-2.2210228693914105E-2</v>
      </c>
      <c r="I25" s="158" cm="1">
        <f t="array" ref="I25">$T$33 * INDEX($T$2:$AE$13, ROW()-ROW($F$17)+1, 1) * INDEX($T$17:$AF$29, COLUMN()-COLUMN($F$17)+1, 1)</f>
        <v>-0.41264245466737631</v>
      </c>
      <c r="J25" s="158" cm="1">
        <f t="array" ref="J25">$T$33 * INDEX($T$2:$AE$13, ROW()-ROW($F$17)+1, 1) * INDEX($T$17:$AF$29, COLUMN()-COLUMN($F$17)+1, 1)</f>
        <v>-0.32508872974657543</v>
      </c>
      <c r="K25" s="158" cm="1">
        <f t="array" ref="K25">$T$33 * INDEX($T$2:$AE$13, ROW()-ROW($F$17)+1, 1) * INDEX($T$17:$AF$29, COLUMN()-COLUMN($F$17)+1, 1)</f>
        <v>-6.2111822872274007E-2</v>
      </c>
      <c r="L25" s="158" cm="1">
        <f t="array" ref="L25">$T$33 * INDEX($T$2:$AE$13, ROW()-ROW($F$17)+1, 1) * INDEX($T$17:$AF$29, COLUMN()-COLUMN($F$17)+1, 1)</f>
        <v>-2.8772365014228456E-2</v>
      </c>
      <c r="M25" s="158" cm="1">
        <f t="array" ref="M25">$T$33 * INDEX($T$2:$AE$13, ROW()-ROW($F$17)+1, 1) * INDEX($T$17:$AF$29, COLUMN()-COLUMN($F$17)+1, 1)</f>
        <v>7.3387587484203348E-2</v>
      </c>
      <c r="N25" s="158" cm="1">
        <f t="array" ref="N25">$T$33 * INDEX($T$2:$AE$13, ROW()-ROW($F$17)+1, 1) * INDEX($T$17:$AF$29, COLUMN()-COLUMN($F$17)+1, 1)</f>
        <v>0.34216090190280035</v>
      </c>
      <c r="O25" s="158" cm="1">
        <f t="array" ref="O25">$T$33 * INDEX($T$2:$AE$13, ROW()-ROW($F$17)+1, 1) * INDEX($T$17:$AF$29, COLUMN()-COLUMN($F$17)+1, 1)</f>
        <v>0.71568051666858878</v>
      </c>
      <c r="P25" s="158" cm="1">
        <f t="array" ref="P25">$T$33 * INDEX($T$2:$AE$13, ROW()-ROW($F$17)+1, 1) * INDEX($T$17:$AF$29, COLUMN()-COLUMN($F$17)+1, 1)</f>
        <v>0.99165907120580088</v>
      </c>
      <c r="Q25" s="158" cm="1">
        <f t="array" ref="Q25">$T$33 * INDEX($T$2:$AE$13, ROW()-ROW($F$17)+1, 1) * INDEX($T$17:$AF$29, COLUMN()-COLUMN($F$17)+1, 1)</f>
        <v>0.98617568086001239</v>
      </c>
      <c r="R25" s="158" cm="1">
        <f t="array" ref="R25">$T$33 * INDEX($T$2:$AE$13, ROW()-ROW($F$17)+1, 1) * INDEX($T$17:$AF$29, COLUMN()-COLUMN($F$17)+1, 1)</f>
        <v>0.84791947388835576</v>
      </c>
      <c r="T25" s="170">
        <v>0.14924345351660837</v>
      </c>
      <c r="U25" s="170">
        <v>-0.45331820270605444</v>
      </c>
      <c r="V25" s="170">
        <v>7.2831012591206473E-2</v>
      </c>
      <c r="W25" s="170">
        <v>0.18689793515879063</v>
      </c>
      <c r="X25" s="170">
        <v>0.13452048083519663</v>
      </c>
      <c r="Y25" s="170">
        <v>-0.12745313589291532</v>
      </c>
      <c r="Z25" s="170">
        <v>-0.12827684573259371</v>
      </c>
      <c r="AA25" s="170">
        <v>0.53209306590370764</v>
      </c>
      <c r="AB25" s="170">
        <v>8.2327420716932026E-2</v>
      </c>
      <c r="AC25" s="170">
        <v>-0.22189117275606687</v>
      </c>
      <c r="AD25" s="170">
        <v>0.33207506604319736</v>
      </c>
      <c r="AE25" s="170">
        <v>-0.23549360254009885</v>
      </c>
      <c r="AF25" s="170">
        <v>0.41991806283521393</v>
      </c>
      <c r="AH25" s="291">
        <v>45869</v>
      </c>
      <c r="AI25" s="21">
        <f t="shared" si="2"/>
        <v>-2.5840766732372344</v>
      </c>
      <c r="AK25">
        <f t="shared" si="3"/>
        <v>209.29666666666671</v>
      </c>
    </row>
    <row r="26" spans="1:44" x14ac:dyDescent="0.3">
      <c r="B26" s="290">
        <f t="shared" si="0"/>
        <v>209.88815692190443</v>
      </c>
      <c r="C26" s="21" t="str">
        <f ca="1">_xlfn.FORMULATEXT(C2)</f>
        <v>=(A2-AVERAGE($A$2:$A$25))/STDEV.S($A$2:$A$25)</v>
      </c>
      <c r="D26" s="289">
        <f>SUMPRODUCT($D$33:$D$44,D14:D25)</f>
        <v>-0.22706192985270404</v>
      </c>
      <c r="E26" s="21"/>
      <c r="F26" s="158" cm="1">
        <f t="array" ref="F26">$T$33 * INDEX($T$2:$AE$13, ROW()-ROW($F$17)+1, 1) * INDEX($T$17:$AF$29, COLUMN()-COLUMN($F$17)+1, 1)</f>
        <v>0.76484829665845755</v>
      </c>
      <c r="G26" s="158" cm="1">
        <f t="array" ref="G26">$T$33 * INDEX($T$2:$AE$13, ROW()-ROW($F$17)+1, 1) * INDEX($T$17:$AF$29, COLUMN()-COLUMN($F$17)+1, 1)</f>
        <v>0.36462774394368325</v>
      </c>
      <c r="H26" s="158" cm="1">
        <f t="array" ref="H26">$T$33 * INDEX($T$2:$AE$13, ROW()-ROW($F$17)+1, 1) * INDEX($T$17:$AF$29, COLUMN()-COLUMN($F$17)+1, 1)</f>
        <v>-1.4582375335643223E-2</v>
      </c>
      <c r="I26" s="158" cm="1">
        <f t="array" ref="I26">$T$33 * INDEX($T$2:$AE$13, ROW()-ROW($F$17)+1, 1) * INDEX($T$17:$AF$29, COLUMN()-COLUMN($F$17)+1, 1)</f>
        <v>-0.2709250425246475</v>
      </c>
      <c r="J26" s="158" cm="1">
        <f t="array" ref="J26">$T$33 * INDEX($T$2:$AE$13, ROW()-ROW($F$17)+1, 1) * INDEX($T$17:$AF$29, COLUMN()-COLUMN($F$17)+1, 1)</f>
        <v>-0.21344066015182564</v>
      </c>
      <c r="K26" s="158" cm="1">
        <f t="array" ref="K26">$T$33 * INDEX($T$2:$AE$13, ROW()-ROW($F$17)+1, 1) * INDEX($T$17:$AF$29, COLUMN()-COLUMN($F$17)+1, 1)</f>
        <v>-4.0780215565843013E-2</v>
      </c>
      <c r="L26" s="158" cm="1">
        <f t="array" ref="L26">$T$33 * INDEX($T$2:$AE$13, ROW()-ROW($F$17)+1, 1) * INDEX($T$17:$AF$29, COLUMN()-COLUMN($F$17)+1, 1)</f>
        <v>-1.8890819708064353E-2</v>
      </c>
      <c r="M26" s="158" cm="1">
        <f t="array" ref="M26">$T$33 * INDEX($T$2:$AE$13, ROW()-ROW($F$17)+1, 1) * INDEX($T$17:$AF$29, COLUMN()-COLUMN($F$17)+1, 1)</f>
        <v>4.8183445583576789E-2</v>
      </c>
      <c r="N26" s="158" cm="1">
        <f t="array" ref="N26">$T$33 * INDEX($T$2:$AE$13, ROW()-ROW($F$17)+1, 1) * INDEX($T$17:$AF$29, COLUMN()-COLUMN($F$17)+1, 1)</f>
        <v>0.22464958670578791</v>
      </c>
      <c r="O26" s="158" cm="1">
        <f t="array" ref="O26">$T$33 * INDEX($T$2:$AE$13, ROW()-ROW($F$17)+1, 1) * INDEX($T$17:$AF$29, COLUMN()-COLUMN($F$17)+1, 1)</f>
        <v>0.46988808887538008</v>
      </c>
      <c r="P26" s="158" cm="1">
        <f t="array" ref="P26">$T$33 * INDEX($T$2:$AE$13, ROW()-ROW($F$17)+1, 1) * INDEX($T$17:$AF$29, COLUMN()-COLUMN($F$17)+1, 1)</f>
        <v>0.6510849113985383</v>
      </c>
      <c r="Q26" s="158" cm="1">
        <f t="array" ref="Q26">$T$33 * INDEX($T$2:$AE$13, ROW()-ROW($F$17)+1, 1) * INDEX($T$17:$AF$29, COLUMN()-COLUMN($F$17)+1, 1)</f>
        <v>0.64748472982291849</v>
      </c>
      <c r="R26" s="158" cm="1">
        <f t="array" ref="R26">$T$33 * INDEX($T$2:$AE$13, ROW()-ROW($F$17)+1, 1) * INDEX($T$17:$AF$29, COLUMN()-COLUMN($F$17)+1, 1)</f>
        <v>0.55671106286398664</v>
      </c>
      <c r="T26" s="170">
        <v>0.31216492395298023</v>
      </c>
      <c r="U26" s="170">
        <v>-0.39217169302302679</v>
      </c>
      <c r="V26" s="170">
        <v>9.5616795114647046E-2</v>
      </c>
      <c r="W26" s="170">
        <v>8.4527675197347302E-2</v>
      </c>
      <c r="X26" s="170">
        <v>-0.1919635001518287</v>
      </c>
      <c r="Y26" s="170">
        <v>-0.30140596360814531</v>
      </c>
      <c r="Z26" s="170">
        <v>0.4450353777824646</v>
      </c>
      <c r="AA26" s="170">
        <v>0.18174928446623642</v>
      </c>
      <c r="AB26" s="170">
        <v>-3.7565849961089151E-2</v>
      </c>
      <c r="AC26" s="170">
        <v>0.23874438064384926</v>
      </c>
      <c r="AD26" s="170">
        <v>-0.23570299922822852</v>
      </c>
      <c r="AE26" s="170">
        <v>0.49660907332146731</v>
      </c>
      <c r="AF26" s="170">
        <v>-0.11443577224305523</v>
      </c>
      <c r="AI26" s="21" t="str">
        <f ca="1">_xlfn.FORMULATEXT(AI2)</f>
        <v>=A2-B2</v>
      </c>
    </row>
    <row r="27" spans="1:44" x14ac:dyDescent="0.3">
      <c r="B27" s="290">
        <f t="shared" si="0"/>
        <v>210.05897103097243</v>
      </c>
      <c r="C27" s="21"/>
      <c r="D27" s="289">
        <f>SUMPRODUCT($D$33:$D$44,D15:D26)</f>
        <v>-0.17267158104349933</v>
      </c>
      <c r="E27" s="21"/>
      <c r="F27" s="158" cm="1">
        <f t="array" ref="F27">$T$33 * INDEX($T$2:$AE$13, ROW()-ROW($F$17)+1, 1) * INDEX($T$17:$AF$29, COLUMN()-COLUMN($F$17)+1, 1)</f>
        <v>0.22238699121678476</v>
      </c>
      <c r="G27" s="158" cm="1">
        <f t="array" ref="G27">$T$33 * INDEX($T$2:$AE$13, ROW()-ROW($F$17)+1, 1) * INDEX($T$17:$AF$29, COLUMN()-COLUMN($F$17)+1, 1)</f>
        <v>0.10601902003844028</v>
      </c>
      <c r="H27" s="158" cm="1">
        <f t="array" ref="H27">$T$33 * INDEX($T$2:$AE$13, ROW()-ROW($F$17)+1, 1) * INDEX($T$17:$AF$29, COLUMN()-COLUMN($F$17)+1, 1)</f>
        <v>-4.2399657420374385E-3</v>
      </c>
      <c r="I27" s="158" cm="1">
        <f t="array" ref="I27">$T$33 * INDEX($T$2:$AE$13, ROW()-ROW($F$17)+1, 1) * INDEX($T$17:$AF$29, COLUMN()-COLUMN($F$17)+1, 1)</f>
        <v>-7.8774059268436211E-2</v>
      </c>
      <c r="J27" s="158" cm="1">
        <f t="array" ref="J27">$T$33 * INDEX($T$2:$AE$13, ROW()-ROW($F$17)+1, 1) * INDEX($T$17:$AF$29, COLUMN()-COLUMN($F$17)+1, 1)</f>
        <v>-6.2059922760977118E-2</v>
      </c>
      <c r="K27" s="158" cm="1">
        <f t="array" ref="K27">$T$33 * INDEX($T$2:$AE$13, ROW()-ROW($F$17)+1, 1) * INDEX($T$17:$AF$29, COLUMN()-COLUMN($F$17)+1, 1)</f>
        <v>-1.185723950812362E-2</v>
      </c>
      <c r="L27" s="158" cm="1">
        <f t="array" ref="L27">$T$33 * INDEX($T$2:$AE$13, ROW()-ROW($F$17)+1, 1) * INDEX($T$17:$AF$29, COLUMN()-COLUMN($F$17)+1, 1)</f>
        <v>-5.4926873405474258E-3</v>
      </c>
      <c r="M27" s="158" cm="1">
        <f t="array" ref="M27">$T$33 * INDEX($T$2:$AE$13, ROW()-ROW($F$17)+1, 1) * INDEX($T$17:$AF$29, COLUMN()-COLUMN($F$17)+1, 1)</f>
        <v>1.400979976892628E-2</v>
      </c>
      <c r="N27" s="158" cm="1">
        <f t="array" ref="N27">$T$33 * INDEX($T$2:$AE$13, ROW()-ROW($F$17)+1, 1) * INDEX($T$17:$AF$29, COLUMN()-COLUMN($F$17)+1, 1)</f>
        <v>6.5319025856317756E-2</v>
      </c>
      <c r="O27" s="158" cm="1">
        <f t="array" ref="O27">$T$33 * INDEX($T$2:$AE$13, ROW()-ROW($F$17)+1, 1) * INDEX($T$17:$AF$29, COLUMN()-COLUMN($F$17)+1, 1)</f>
        <v>0.13662447671013639</v>
      </c>
      <c r="P27" s="158" cm="1">
        <f t="array" ref="P27">$T$33 * INDEX($T$2:$AE$13, ROW()-ROW($F$17)+1, 1) * INDEX($T$17:$AF$29, COLUMN()-COLUMN($F$17)+1, 1)</f>
        <v>0.18930919386910125</v>
      </c>
      <c r="Q27" s="158" cm="1">
        <f t="array" ref="Q27">$T$33 * INDEX($T$2:$AE$13, ROW()-ROW($F$17)+1, 1) * INDEX($T$17:$AF$29, COLUMN()-COLUMN($F$17)+1, 1)</f>
        <v>0.18826240648402887</v>
      </c>
      <c r="R27" s="158" cm="1">
        <f t="array" ref="R27">$T$33 * INDEX($T$2:$AE$13, ROW()-ROW($F$17)+1, 1) * INDEX($T$17:$AF$29, COLUMN()-COLUMN($F$17)+1, 1)</f>
        <v>0.16186909062661542</v>
      </c>
      <c r="T27" s="170">
        <v>0.43254101703259135</v>
      </c>
      <c r="U27" s="170">
        <v>-0.24794688075681021</v>
      </c>
      <c r="V27" s="170">
        <v>-5.6788612236586225E-2</v>
      </c>
      <c r="W27" s="170">
        <v>-0.18709501994686484</v>
      </c>
      <c r="X27" s="170">
        <v>6.0090239246095953E-2</v>
      </c>
      <c r="Y27" s="170">
        <v>3.5307975537396792E-2</v>
      </c>
      <c r="Z27" s="170">
        <v>0.39039839232131301</v>
      </c>
      <c r="AA27" s="170">
        <v>-0.41782060369432344</v>
      </c>
      <c r="AB27" s="170">
        <v>0.1411922880088203</v>
      </c>
      <c r="AC27" s="170">
        <v>-0.20888491190301328</v>
      </c>
      <c r="AD27" s="170">
        <v>0.2965767676429153</v>
      </c>
      <c r="AE27" s="170">
        <v>-0.38968354538565392</v>
      </c>
      <c r="AF27" s="170">
        <v>-0.27924801715889269</v>
      </c>
    </row>
    <row r="28" spans="1:44" x14ac:dyDescent="0.3">
      <c r="B28" s="290">
        <f t="shared" si="0"/>
        <v>210.35979615180617</v>
      </c>
      <c r="C28" s="21"/>
      <c r="D28" s="289">
        <f>SUMPRODUCT($D$33:$D$44,D16:D27)</f>
        <v>-7.6883338830995712E-2</v>
      </c>
      <c r="E28" s="21"/>
      <c r="F28" s="158" cm="1">
        <f t="array" ref="F28">$T$33 * INDEX($T$2:$AE$13, ROW()-ROW($F$17)+1, 1) * INDEX($T$17:$AF$29, COLUMN()-COLUMN($F$17)+1, 1)</f>
        <v>-0.19562278915892081</v>
      </c>
      <c r="G28" s="158" cm="1">
        <f t="array" ref="G28">$T$33 * INDEX($T$2:$AE$13, ROW()-ROW($F$17)+1, 1) * INDEX($T$17:$AF$29, COLUMN()-COLUMN($F$17)+1, 1)</f>
        <v>-9.3259665461267613E-2</v>
      </c>
      <c r="H28" s="158" cm="1">
        <f t="array" ref="H28">$T$33 * INDEX($T$2:$AE$13, ROW()-ROW($F$17)+1, 1) * INDEX($T$17:$AF$29, COLUMN()-COLUMN($F$17)+1, 1)</f>
        <v>3.7296872441027712E-3</v>
      </c>
      <c r="I28" s="158" cm="1">
        <f t="array" ref="I28">$T$33 * INDEX($T$2:$AE$13, ROW()-ROW($F$17)+1, 1) * INDEX($T$17:$AF$29, COLUMN()-COLUMN($F$17)+1, 1)</f>
        <v>6.929362685805586E-2</v>
      </c>
      <c r="J28" s="158" cm="1">
        <f t="array" ref="J28">$T$33 * INDEX($T$2:$AE$13, ROW()-ROW($F$17)+1, 1) * INDEX($T$17:$AF$29, COLUMN()-COLUMN($F$17)+1, 1)</f>
        <v>5.4591031242717941E-2</v>
      </c>
      <c r="K28" s="158" cm="1">
        <f t="array" ref="K28">$T$33 * INDEX($T$2:$AE$13, ROW()-ROW($F$17)+1, 1) * INDEX($T$17:$AF$29, COLUMN()-COLUMN($F$17)+1, 1)</f>
        <v>1.0430224590085755E-2</v>
      </c>
      <c r="L28" s="158" cm="1">
        <f t="array" ref="L28">$T$33 * INDEX($T$2:$AE$13, ROW()-ROW($F$17)+1, 1) * INDEX($T$17:$AF$29, COLUMN()-COLUMN($F$17)+1, 1)</f>
        <v>4.8316442057006644E-3</v>
      </c>
      <c r="M28" s="158" cm="1">
        <f t="array" ref="M28">$T$33 * INDEX($T$2:$AE$13, ROW()-ROW($F$17)+1, 1) * INDEX($T$17:$AF$29, COLUMN()-COLUMN($F$17)+1, 1)</f>
        <v>-1.2323724923656921E-2</v>
      </c>
      <c r="N28" s="158" cm="1">
        <f t="array" ref="N28">$T$33 * INDEX($T$2:$AE$13, ROW()-ROW($F$17)+1, 1) * INDEX($T$17:$AF$29, COLUMN()-COLUMN($F$17)+1, 1)</f>
        <v>-5.7457902340611947E-2</v>
      </c>
      <c r="O28" s="158" cm="1">
        <f t="array" ref="O28">$T$33 * INDEX($T$2:$AE$13, ROW()-ROW($F$17)+1, 1) * INDEX($T$17:$AF$29, COLUMN()-COLUMN($F$17)+1, 1)</f>
        <v>-0.12018176537746006</v>
      </c>
      <c r="P28" s="158" cm="1">
        <f t="array" ref="P28">$T$33 * INDEX($T$2:$AE$13, ROW()-ROW($F$17)+1, 1) * INDEX($T$17:$AF$29, COLUMN()-COLUMN($F$17)+1, 1)</f>
        <v>-0.16652589396292602</v>
      </c>
      <c r="Q28" s="158" cm="1">
        <f t="array" ref="Q28">$T$33 * INDEX($T$2:$AE$13, ROW()-ROW($F$17)+1, 1) * INDEX($T$17:$AF$29, COLUMN()-COLUMN($F$17)+1, 1)</f>
        <v>-0.16560508709916202</v>
      </c>
      <c r="R28" s="158" cm="1">
        <f t="array" ref="R28">$T$33 * INDEX($T$2:$AE$13, ROW()-ROW($F$17)+1, 1) * INDEX($T$17:$AF$29, COLUMN()-COLUMN($F$17)+1, 1)</f>
        <v>-0.14238819822032237</v>
      </c>
      <c r="T28" s="170">
        <v>0.43014927645780882</v>
      </c>
      <c r="U28" s="170">
        <v>-0.10142143666720684</v>
      </c>
      <c r="V28" s="170">
        <v>-0.33878054495438426</v>
      </c>
      <c r="W28" s="170">
        <v>-5.6534411723407139E-2</v>
      </c>
      <c r="X28" s="170">
        <v>6.2701038770863429E-2</v>
      </c>
      <c r="Y28" s="170">
        <v>0.25814402079528687</v>
      </c>
      <c r="Z28" s="170">
        <v>-9.5944934008578259E-2</v>
      </c>
      <c r="AA28" s="170">
        <v>-0.16441708736254554</v>
      </c>
      <c r="AB28" s="170">
        <v>-0.36573959435174092</v>
      </c>
      <c r="AC28" s="170">
        <v>9.7176759525315071E-2</v>
      </c>
      <c r="AD28" s="170">
        <v>-0.45066229475178304</v>
      </c>
      <c r="AE28" s="170">
        <v>-0.12954334823016597</v>
      </c>
      <c r="AF28" s="170">
        <v>0.46564146468571455</v>
      </c>
    </row>
    <row r="29" spans="1:44" x14ac:dyDescent="0.3">
      <c r="B29" s="290">
        <f t="shared" si="0"/>
        <v>210.7140908163239</v>
      </c>
      <c r="C29" s="21"/>
      <c r="D29" s="289">
        <f>SUMPRODUCT($D$33:$D$44,D17:D28)</f>
        <v>3.5930587896153485E-2</v>
      </c>
      <c r="E29" s="21" t="str">
        <f ca="1">_xlfn.FORMULATEXT(D26)</f>
        <v>=SUMPRODUCT($D$33:$D$44,D14:D25)</v>
      </c>
      <c r="F29" s="21" t="str">
        <f ca="1">_xlfn.FORMULATEXT(F17)</f>
        <v>=$T$33 * INDEX($T$2:$AE$13, ROW()-ROW($F$17)+1, 1) * INDEX($T$17:$AF$29, COLUMN()-COLUMN($F$17)+1, 1)</v>
      </c>
      <c r="T29" s="170">
        <v>0.36984480074533072</v>
      </c>
      <c r="U29" s="170">
        <v>9.3218503138457656E-2</v>
      </c>
      <c r="V29" s="170">
        <v>-0.49798940113196877</v>
      </c>
      <c r="W29" s="170">
        <v>4.6179907276704749E-2</v>
      </c>
      <c r="X29" s="170">
        <v>-0.40471887535537071</v>
      </c>
      <c r="Y29" s="170">
        <v>0.16169622171839418</v>
      </c>
      <c r="Z29" s="170">
        <v>-0.382854608490938</v>
      </c>
      <c r="AA29" s="170">
        <v>0.18215933526879716</v>
      </c>
      <c r="AB29" s="170">
        <v>0.2280408439756953</v>
      </c>
      <c r="AC29" s="170">
        <v>-9.9533080727915599E-2</v>
      </c>
      <c r="AD29" s="170">
        <v>0.20926413096058202</v>
      </c>
      <c r="AE29" s="170">
        <v>0.25294348590627097</v>
      </c>
      <c r="AF29" s="170">
        <v>-0.25498049230037761</v>
      </c>
    </row>
    <row r="30" spans="1:44" x14ac:dyDescent="0.3">
      <c r="B30" s="21" t="str">
        <f ca="1">_xlfn.FORMULATEXT(B2)</f>
        <v>=D2*STDEV.S($A$2:$A$25)+AVERAGE($A$2:$A$25)</v>
      </c>
      <c r="D30" s="21"/>
      <c r="T30" t="str">
        <f ca="1">_xlfn.FORMULATEXT(T17)</f>
        <v>=SVD_V(F2:R13)</v>
      </c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</row>
    <row r="31" spans="1:44" x14ac:dyDescent="0.3">
      <c r="D31" s="21"/>
      <c r="E31" s="298"/>
    </row>
    <row r="32" spans="1:44" x14ac:dyDescent="0.3">
      <c r="D32" t="s">
        <v>484</v>
      </c>
      <c r="E32" s="21"/>
      <c r="F32" t="s">
        <v>483</v>
      </c>
      <c r="G32" t="s">
        <v>482</v>
      </c>
      <c r="T32" s="12" t="s">
        <v>464</v>
      </c>
      <c r="AQ32" t="s">
        <v>106</v>
      </c>
      <c r="AR32" t="s">
        <v>105</v>
      </c>
    </row>
    <row r="33" spans="4:44" x14ac:dyDescent="0.3">
      <c r="D33" s="288" cm="1">
        <f t="array" ref="D33:D45">TRANSPOSE(LINEST(F33:F44,G33:R44,FALSE,FALSE))</f>
        <v>1.1778574751605146</v>
      </c>
      <c r="E33" s="21"/>
      <c r="F33" s="286" cm="1">
        <f t="array" ref="F33">INDEX($D$2:$D$25, ROW()-ROW($F$33)+$K$1+1)</f>
        <v>-0.19498850236411205</v>
      </c>
      <c r="G33" s="285" cm="1">
        <f t="array" ref="G33">INDEX($D$2:$D$25, ROW()-ROW($G$33) + COLUMN()-COLUMN($G$33)+1)</f>
        <v>-1.3025487017845694</v>
      </c>
      <c r="H33" s="285" cm="1">
        <f t="array" ref="H33">INDEX($D$2:$D$25, ROW()-ROW($G$33) + COLUMN()-COLUMN($G$33)+1)</f>
        <v>-0.74792442349488852</v>
      </c>
      <c r="I33" s="285" cm="1">
        <f t="array" ref="I33">INDEX($D$2:$D$25, ROW()-ROW($G$33) + COLUMN()-COLUMN($G$33)+1)</f>
        <v>-0.22797524518618995</v>
      </c>
      <c r="J33" s="285" cm="1">
        <f t="array" ref="J33">INDEX($D$2:$D$25, ROW()-ROW($G$33) + COLUMN()-COLUMN($G$33)+1)</f>
        <v>0.16150883209803968</v>
      </c>
      <c r="K33" s="285" cm="1">
        <f t="array" ref="K33">INDEX($D$2:$D$25, ROW()-ROW($G$33) + COLUMN()-COLUMN($G$33)+1)</f>
        <v>0.26767253130258817</v>
      </c>
      <c r="L33" s="285" cm="1">
        <f t="array" ref="L33">INDEX($D$2:$D$25, ROW()-ROW($G$33) + COLUMN()-COLUMN($G$33)+1)</f>
        <v>0.19090476509987012</v>
      </c>
      <c r="M33" s="285" cm="1">
        <f t="array" ref="M33">INDEX($D$2:$D$25, ROW()-ROW($G$33) + COLUMN()-COLUMN($G$33)+1)</f>
        <v>0.15559405563548245</v>
      </c>
      <c r="N33" s="285" cm="1">
        <f t="array" ref="N33">INDEX($D$2:$D$25, ROW()-ROW($G$33) + COLUMN()-COLUMN($G$33)+1)</f>
        <v>0.14754279181357222</v>
      </c>
      <c r="O33" s="285" cm="1">
        <f t="array" ref="O33">INDEX($D$2:$D$25, ROW()-ROW($G$33) + COLUMN()-COLUMN($G$33)+1)</f>
        <v>0.10188155578965152</v>
      </c>
      <c r="P33" s="285" cm="1">
        <f t="array" ref="P33">INDEX($D$2:$D$25, ROW()-ROW($G$33) + COLUMN()-COLUMN($G$33)+1)</f>
        <v>-2.3654682936004923E-2</v>
      </c>
      <c r="Q33" s="285" cm="1">
        <f t="array" ref="Q33">INDEX($D$2:$D$25, ROW()-ROW($G$33) + COLUMN()-COLUMN($G$33)+1)</f>
        <v>-0.16439420676116467</v>
      </c>
      <c r="R33" s="285" cm="1">
        <f t="array" ref="R33">INDEX($D$2:$D$25, ROW()-ROW($G$33) + COLUMN()-COLUMN($G$33)+1)</f>
        <v>-0.23227562074778499</v>
      </c>
      <c r="T33" s="284" cm="1">
        <f t="array" ref="T33:AF44">[2]!SVD_D(F2:R13)</f>
        <v>5.2357697846848392</v>
      </c>
      <c r="U33" s="283">
        <v>0</v>
      </c>
      <c r="V33" s="283">
        <v>0</v>
      </c>
      <c r="W33" s="283">
        <v>0</v>
      </c>
      <c r="X33" s="283">
        <v>0</v>
      </c>
      <c r="Y33" s="283">
        <v>0</v>
      </c>
      <c r="Z33" s="283">
        <v>0</v>
      </c>
      <c r="AA33" s="283">
        <v>0</v>
      </c>
      <c r="AB33" s="283">
        <v>0</v>
      </c>
      <c r="AC33" s="283">
        <v>0</v>
      </c>
      <c r="AD33" s="283">
        <v>0</v>
      </c>
      <c r="AE33" s="283">
        <v>0</v>
      </c>
      <c r="AF33" s="283">
        <v>0</v>
      </c>
      <c r="AP33" s="21">
        <f>T33</f>
        <v>5.2357697846848392</v>
      </c>
      <c r="AQ33" s="176">
        <f t="shared" ref="AQ33:AQ44" si="4">AP33/$AP$45</f>
        <v>0.23547605720123976</v>
      </c>
      <c r="AR33" s="176">
        <f>AQ33</f>
        <v>0.23547605720123976</v>
      </c>
    </row>
    <row r="34" spans="4:44" x14ac:dyDescent="0.3">
      <c r="D34" s="287">
        <v>8.1239027364041802E-2</v>
      </c>
      <c r="E34" s="21"/>
      <c r="F34" s="286" cm="1">
        <f t="array" ref="F34">INDEX($D$2:$D$25, ROW()-ROW($F$33)+$K$1+1)</f>
        <v>-4.4559229278070697E-2</v>
      </c>
      <c r="G34" s="285" cm="1">
        <f t="array" ref="G34">INDEX($D$2:$D$25, ROW()-ROW($G$33) + COLUMN()-COLUMN($G$33)+1)</f>
        <v>-0.74792442349488852</v>
      </c>
      <c r="H34" s="285" cm="1">
        <f t="array" ref="H34">INDEX($D$2:$D$25, ROW()-ROW($G$33) + COLUMN()-COLUMN($G$33)+1)</f>
        <v>-0.22797524518618995</v>
      </c>
      <c r="I34" s="285" cm="1">
        <f t="array" ref="I34">INDEX($D$2:$D$25, ROW()-ROW($G$33) + COLUMN()-COLUMN($G$33)+1)</f>
        <v>0.16150883209803968</v>
      </c>
      <c r="J34" s="285" cm="1">
        <f t="array" ref="J34">INDEX($D$2:$D$25, ROW()-ROW($G$33) + COLUMN()-COLUMN($G$33)+1)</f>
        <v>0.26767253130258817</v>
      </c>
      <c r="K34" s="285" cm="1">
        <f t="array" ref="K34">INDEX($D$2:$D$25, ROW()-ROW($G$33) + COLUMN()-COLUMN($G$33)+1)</f>
        <v>0.19090476509987012</v>
      </c>
      <c r="L34" s="285" cm="1">
        <f t="array" ref="L34">INDEX($D$2:$D$25, ROW()-ROW($G$33) + COLUMN()-COLUMN($G$33)+1)</f>
        <v>0.15559405563548245</v>
      </c>
      <c r="M34" s="285" cm="1">
        <f t="array" ref="M34">INDEX($D$2:$D$25, ROW()-ROW($G$33) + COLUMN()-COLUMN($G$33)+1)</f>
        <v>0.14754279181357222</v>
      </c>
      <c r="N34" s="285" cm="1">
        <f t="array" ref="N34">INDEX($D$2:$D$25, ROW()-ROW($G$33) + COLUMN()-COLUMN($G$33)+1)</f>
        <v>0.10188155578965152</v>
      </c>
      <c r="O34" s="285" cm="1">
        <f t="array" ref="O34">INDEX($D$2:$D$25, ROW()-ROW($G$33) + COLUMN()-COLUMN($G$33)+1)</f>
        <v>-2.3654682936004923E-2</v>
      </c>
      <c r="P34" s="285" cm="1">
        <f t="array" ref="P34">INDEX($D$2:$D$25, ROW()-ROW($G$33) + COLUMN()-COLUMN($G$33)+1)</f>
        <v>-0.16439420676116467</v>
      </c>
      <c r="Q34" s="285" cm="1">
        <f t="array" ref="Q34">INDEX($D$2:$D$25, ROW()-ROW($G$33) + COLUMN()-COLUMN($G$33)+1)</f>
        <v>-0.23227562074778499</v>
      </c>
      <c r="R34" s="285" cm="1">
        <f t="array" ref="R34">INDEX($D$2:$D$25, ROW()-ROW($G$33) + COLUMN()-COLUMN($G$33)+1)</f>
        <v>-0.19498850236411205</v>
      </c>
      <c r="T34" s="283">
        <v>0</v>
      </c>
      <c r="U34" s="284">
        <v>5.0003952440728474</v>
      </c>
      <c r="V34" s="283">
        <v>0</v>
      </c>
      <c r="W34" s="283">
        <v>0</v>
      </c>
      <c r="X34" s="283">
        <v>0</v>
      </c>
      <c r="Y34" s="283">
        <v>0</v>
      </c>
      <c r="Z34" s="283">
        <v>0</v>
      </c>
      <c r="AA34" s="283">
        <v>0</v>
      </c>
      <c r="AB34" s="283">
        <v>0</v>
      </c>
      <c r="AC34" s="283">
        <v>0</v>
      </c>
      <c r="AD34" s="283">
        <v>0</v>
      </c>
      <c r="AE34" s="283">
        <v>0</v>
      </c>
      <c r="AF34" s="283">
        <v>0</v>
      </c>
      <c r="AP34" s="21">
        <f>U34</f>
        <v>5.0003952440728474</v>
      </c>
      <c r="AQ34" s="176">
        <f t="shared" si="4"/>
        <v>0.22489020811540161</v>
      </c>
      <c r="AR34" s="176">
        <f t="shared" ref="AR34:AR44" si="5">AQ34+AR33</f>
        <v>0.46036626531664138</v>
      </c>
    </row>
    <row r="35" spans="4:44" x14ac:dyDescent="0.3">
      <c r="D35" s="287">
        <v>-0.42597910644461745</v>
      </c>
      <c r="E35" s="21"/>
      <c r="F35" s="286" cm="1">
        <f t="array" ref="F35">INDEX($D$2:$D$25, ROW()-ROW($F$33)+$K$1+1)</f>
        <v>0.10321748548243581</v>
      </c>
      <c r="G35" s="285" cm="1">
        <f t="array" ref="G35">INDEX($D$2:$D$25, ROW()-ROW($G$33) + COLUMN()-COLUMN($G$33)+1)</f>
        <v>-0.22797524518618995</v>
      </c>
      <c r="H35" s="285" cm="1">
        <f t="array" ref="H35">INDEX($D$2:$D$25, ROW()-ROW($G$33) + COLUMN()-COLUMN($G$33)+1)</f>
        <v>0.16150883209803968</v>
      </c>
      <c r="I35" s="285" cm="1">
        <f t="array" ref="I35">INDEX($D$2:$D$25, ROW()-ROW($G$33) + COLUMN()-COLUMN($G$33)+1)</f>
        <v>0.26767253130258817</v>
      </c>
      <c r="J35" s="285" cm="1">
        <f t="array" ref="J35">INDEX($D$2:$D$25, ROW()-ROW($G$33) + COLUMN()-COLUMN($G$33)+1)</f>
        <v>0.19090476509987012</v>
      </c>
      <c r="K35" s="285" cm="1">
        <f t="array" ref="K35">INDEX($D$2:$D$25, ROW()-ROW($G$33) + COLUMN()-COLUMN($G$33)+1)</f>
        <v>0.15559405563548245</v>
      </c>
      <c r="L35" s="285" cm="1">
        <f t="array" ref="L35">INDEX($D$2:$D$25, ROW()-ROW($G$33) + COLUMN()-COLUMN($G$33)+1)</f>
        <v>0.14754279181357222</v>
      </c>
      <c r="M35" s="285" cm="1">
        <f t="array" ref="M35">INDEX($D$2:$D$25, ROW()-ROW($G$33) + COLUMN()-COLUMN($G$33)+1)</f>
        <v>0.10188155578965152</v>
      </c>
      <c r="N35" s="285" cm="1">
        <f t="array" ref="N35">INDEX($D$2:$D$25, ROW()-ROW($G$33) + COLUMN()-COLUMN($G$33)+1)</f>
        <v>-2.3654682936004923E-2</v>
      </c>
      <c r="O35" s="285" cm="1">
        <f t="array" ref="O35">INDEX($D$2:$D$25, ROW()-ROW($G$33) + COLUMN()-COLUMN($G$33)+1)</f>
        <v>-0.16439420676116467</v>
      </c>
      <c r="P35" s="285" cm="1">
        <f t="array" ref="P35">INDEX($D$2:$D$25, ROW()-ROW($G$33) + COLUMN()-COLUMN($G$33)+1)</f>
        <v>-0.23227562074778499</v>
      </c>
      <c r="Q35" s="285" cm="1">
        <f t="array" ref="Q35">INDEX($D$2:$D$25, ROW()-ROW($G$33) + COLUMN()-COLUMN($G$33)+1)</f>
        <v>-0.19498850236411205</v>
      </c>
      <c r="R35" s="285" cm="1">
        <f t="array" ref="R35">INDEX($D$2:$D$25, ROW()-ROW($G$33) + COLUMN()-COLUMN($G$33)+1)</f>
        <v>-4.4559229278070697E-2</v>
      </c>
      <c r="T35" s="283">
        <v>0</v>
      </c>
      <c r="U35" s="283">
        <v>0</v>
      </c>
      <c r="V35" s="284">
        <v>3.5281484896607522</v>
      </c>
      <c r="W35" s="283">
        <v>0</v>
      </c>
      <c r="X35" s="283">
        <v>0</v>
      </c>
      <c r="Y35" s="283">
        <v>0</v>
      </c>
      <c r="Z35" s="283">
        <v>0</v>
      </c>
      <c r="AA35" s="283">
        <v>0</v>
      </c>
      <c r="AB35" s="283">
        <v>0</v>
      </c>
      <c r="AC35" s="283">
        <v>0</v>
      </c>
      <c r="AD35" s="283">
        <v>0</v>
      </c>
      <c r="AE35" s="283">
        <v>0</v>
      </c>
      <c r="AF35" s="283">
        <v>0</v>
      </c>
      <c r="AP35" s="21">
        <f>V35</f>
        <v>3.5281484896607522</v>
      </c>
      <c r="AQ35" s="176">
        <f t="shared" si="4"/>
        <v>0.15867666641798911</v>
      </c>
      <c r="AR35" s="176">
        <f t="shared" si="5"/>
        <v>0.61904293173463043</v>
      </c>
    </row>
    <row r="36" spans="4:44" x14ac:dyDescent="0.3">
      <c r="D36" s="287">
        <v>-9.03474591881233E-2</v>
      </c>
      <c r="E36" s="21"/>
      <c r="F36" s="286" cm="1">
        <f t="array" ref="F36">INDEX($D$2:$D$25, ROW()-ROW($F$33)+$K$1+1)</f>
        <v>0.22213405380300993</v>
      </c>
      <c r="G36" s="285" cm="1">
        <f t="array" ref="G36">INDEX($D$2:$D$25, ROW()-ROW($G$33) + COLUMN()-COLUMN($G$33)+1)</f>
        <v>0.16150883209803968</v>
      </c>
      <c r="H36" s="285" cm="1">
        <f t="array" ref="H36">INDEX($D$2:$D$25, ROW()-ROW($G$33) + COLUMN()-COLUMN($G$33)+1)</f>
        <v>0.26767253130258817</v>
      </c>
      <c r="I36" s="285" cm="1">
        <f t="array" ref="I36">INDEX($D$2:$D$25, ROW()-ROW($G$33) + COLUMN()-COLUMN($G$33)+1)</f>
        <v>0.19090476509987012</v>
      </c>
      <c r="J36" s="285" cm="1">
        <f t="array" ref="J36">INDEX($D$2:$D$25, ROW()-ROW($G$33) + COLUMN()-COLUMN($G$33)+1)</f>
        <v>0.15559405563548245</v>
      </c>
      <c r="K36" s="285" cm="1">
        <f t="array" ref="K36">INDEX($D$2:$D$25, ROW()-ROW($G$33) + COLUMN()-COLUMN($G$33)+1)</f>
        <v>0.14754279181357222</v>
      </c>
      <c r="L36" s="285" cm="1">
        <f t="array" ref="L36">INDEX($D$2:$D$25, ROW()-ROW($G$33) + COLUMN()-COLUMN($G$33)+1)</f>
        <v>0.10188155578965152</v>
      </c>
      <c r="M36" s="285" cm="1">
        <f t="array" ref="M36">INDEX($D$2:$D$25, ROW()-ROW($G$33) + COLUMN()-COLUMN($G$33)+1)</f>
        <v>-2.3654682936004923E-2</v>
      </c>
      <c r="N36" s="285" cm="1">
        <f t="array" ref="N36">INDEX($D$2:$D$25, ROW()-ROW($G$33) + COLUMN()-COLUMN($G$33)+1)</f>
        <v>-0.16439420676116467</v>
      </c>
      <c r="O36" s="285" cm="1">
        <f t="array" ref="O36">INDEX($D$2:$D$25, ROW()-ROW($G$33) + COLUMN()-COLUMN($G$33)+1)</f>
        <v>-0.23227562074778499</v>
      </c>
      <c r="P36" s="285" cm="1">
        <f t="array" ref="P36">INDEX($D$2:$D$25, ROW()-ROW($G$33) + COLUMN()-COLUMN($G$33)+1)</f>
        <v>-0.19498850236411205</v>
      </c>
      <c r="Q36" s="285" cm="1">
        <f t="array" ref="Q36">INDEX($D$2:$D$25, ROW()-ROW($G$33) + COLUMN()-COLUMN($G$33)+1)</f>
        <v>-4.4559229278070697E-2</v>
      </c>
      <c r="R36" s="285" cm="1">
        <f t="array" ref="R36">INDEX($D$2:$D$25, ROW()-ROW($G$33) + COLUMN()-COLUMN($G$33)+1)</f>
        <v>0.10321748548243581</v>
      </c>
      <c r="T36" s="283">
        <v>0</v>
      </c>
      <c r="U36" s="283">
        <v>0</v>
      </c>
      <c r="V36" s="283">
        <v>0</v>
      </c>
      <c r="W36" s="284">
        <v>2.389623485560092</v>
      </c>
      <c r="X36" s="283">
        <v>0</v>
      </c>
      <c r="Y36" s="283">
        <v>0</v>
      </c>
      <c r="Z36" s="283">
        <v>0</v>
      </c>
      <c r="AA36" s="283">
        <v>0</v>
      </c>
      <c r="AB36" s="283">
        <v>0</v>
      </c>
      <c r="AC36" s="283">
        <v>0</v>
      </c>
      <c r="AD36" s="283">
        <v>0</v>
      </c>
      <c r="AE36" s="283">
        <v>0</v>
      </c>
      <c r="AF36" s="283">
        <v>0</v>
      </c>
      <c r="AP36" s="21">
        <f>W36</f>
        <v>2.389623485560092</v>
      </c>
      <c r="AQ36" s="176">
        <f t="shared" si="4"/>
        <v>0.10747208905577293</v>
      </c>
      <c r="AR36" s="176">
        <f t="shared" si="5"/>
        <v>0.72651502079040342</v>
      </c>
    </row>
    <row r="37" spans="4:44" x14ac:dyDescent="0.3">
      <c r="D37" s="287">
        <v>0.49744928599737209</v>
      </c>
      <c r="E37" s="21"/>
      <c r="F37" s="286" cm="1">
        <f t="array" ref="F37">INDEX($D$2:$D$25, ROW()-ROW($F$33)+$K$1+1)</f>
        <v>0.3200749800819026</v>
      </c>
      <c r="G37" s="285" cm="1">
        <f t="array" ref="G37">INDEX($D$2:$D$25, ROW()-ROW($G$33) + COLUMN()-COLUMN($G$33)+1)</f>
        <v>0.26767253130258817</v>
      </c>
      <c r="H37" s="285" cm="1">
        <f t="array" ref="H37">INDEX($D$2:$D$25, ROW()-ROW($G$33) + COLUMN()-COLUMN($G$33)+1)</f>
        <v>0.19090476509987012</v>
      </c>
      <c r="I37" s="285" cm="1">
        <f t="array" ref="I37">INDEX($D$2:$D$25, ROW()-ROW($G$33) + COLUMN()-COLUMN($G$33)+1)</f>
        <v>0.15559405563548245</v>
      </c>
      <c r="J37" s="285" cm="1">
        <f t="array" ref="J37">INDEX($D$2:$D$25, ROW()-ROW($G$33) + COLUMN()-COLUMN($G$33)+1)</f>
        <v>0.14754279181357222</v>
      </c>
      <c r="K37" s="285" cm="1">
        <f t="array" ref="K37">INDEX($D$2:$D$25, ROW()-ROW($G$33) + COLUMN()-COLUMN($G$33)+1)</f>
        <v>0.10188155578965152</v>
      </c>
      <c r="L37" s="285" cm="1">
        <f t="array" ref="L37">INDEX($D$2:$D$25, ROW()-ROW($G$33) + COLUMN()-COLUMN($G$33)+1)</f>
        <v>-2.3654682936004923E-2</v>
      </c>
      <c r="M37" s="285" cm="1">
        <f t="array" ref="M37">INDEX($D$2:$D$25, ROW()-ROW($G$33) + COLUMN()-COLUMN($G$33)+1)</f>
        <v>-0.16439420676116467</v>
      </c>
      <c r="N37" s="285" cm="1">
        <f t="array" ref="N37">INDEX($D$2:$D$25, ROW()-ROW($G$33) + COLUMN()-COLUMN($G$33)+1)</f>
        <v>-0.23227562074778499</v>
      </c>
      <c r="O37" s="285" cm="1">
        <f t="array" ref="O37">INDEX($D$2:$D$25, ROW()-ROW($G$33) + COLUMN()-COLUMN($G$33)+1)</f>
        <v>-0.19498850236411205</v>
      </c>
      <c r="P37" s="285" cm="1">
        <f t="array" ref="P37">INDEX($D$2:$D$25, ROW()-ROW($G$33) + COLUMN()-COLUMN($G$33)+1)</f>
        <v>-4.4559229278070697E-2</v>
      </c>
      <c r="Q37" s="285" cm="1">
        <f t="array" ref="Q37">INDEX($D$2:$D$25, ROW()-ROW($G$33) + COLUMN()-COLUMN($G$33)+1)</f>
        <v>0.10321748548243581</v>
      </c>
      <c r="R37" s="285" cm="1">
        <f t="array" ref="R37">INDEX($D$2:$D$25, ROW()-ROW($G$33) + COLUMN()-COLUMN($G$33)+1)</f>
        <v>0.22213405380300993</v>
      </c>
      <c r="T37" s="283">
        <v>0</v>
      </c>
      <c r="U37" s="283">
        <v>0</v>
      </c>
      <c r="V37" s="283">
        <v>0</v>
      </c>
      <c r="W37" s="283">
        <v>0</v>
      </c>
      <c r="X37" s="284">
        <v>1.6219520291611704</v>
      </c>
      <c r="Y37" s="283">
        <v>0</v>
      </c>
      <c r="Z37" s="283">
        <v>0</v>
      </c>
      <c r="AA37" s="283">
        <v>0</v>
      </c>
      <c r="AB37" s="283">
        <v>0</v>
      </c>
      <c r="AC37" s="283">
        <v>0</v>
      </c>
      <c r="AD37" s="283">
        <v>0</v>
      </c>
      <c r="AE37" s="283">
        <v>0</v>
      </c>
      <c r="AF37" s="283">
        <v>0</v>
      </c>
      <c r="AP37" s="21">
        <f>X37</f>
        <v>1.6219520291611704</v>
      </c>
      <c r="AQ37" s="176">
        <f t="shared" si="4"/>
        <v>7.2946459547096484E-2</v>
      </c>
      <c r="AR37" s="176">
        <f t="shared" si="5"/>
        <v>0.79946148033749986</v>
      </c>
    </row>
    <row r="38" spans="4:44" x14ac:dyDescent="0.3">
      <c r="D38" s="287">
        <v>-0.48929978294689352</v>
      </c>
      <c r="E38" s="21"/>
      <c r="F38" s="286" cm="1">
        <f t="array" ref="F38">INDEX($D$2:$D$25, ROW()-ROW($F$33)+$K$1+1)</f>
        <v>0.42185676979323672</v>
      </c>
      <c r="G38" s="285" cm="1">
        <f t="array" ref="G38">INDEX($D$2:$D$25, ROW()-ROW($G$33) + COLUMN()-COLUMN($G$33)+1)</f>
        <v>0.19090476509987012</v>
      </c>
      <c r="H38" s="285" cm="1">
        <f t="array" ref="H38">INDEX($D$2:$D$25, ROW()-ROW($G$33) + COLUMN()-COLUMN($G$33)+1)</f>
        <v>0.15559405563548245</v>
      </c>
      <c r="I38" s="285" cm="1">
        <f t="array" ref="I38">INDEX($D$2:$D$25, ROW()-ROW($G$33) + COLUMN()-COLUMN($G$33)+1)</f>
        <v>0.14754279181357222</v>
      </c>
      <c r="J38" s="285" cm="1">
        <f t="array" ref="J38">INDEX($D$2:$D$25, ROW()-ROW($G$33) + COLUMN()-COLUMN($G$33)+1)</f>
        <v>0.10188155578965152</v>
      </c>
      <c r="K38" s="285" cm="1">
        <f t="array" ref="K38">INDEX($D$2:$D$25, ROW()-ROW($G$33) + COLUMN()-COLUMN($G$33)+1)</f>
        <v>-2.3654682936004923E-2</v>
      </c>
      <c r="L38" s="285" cm="1">
        <f t="array" ref="L38">INDEX($D$2:$D$25, ROW()-ROW($G$33) + COLUMN()-COLUMN($G$33)+1)</f>
        <v>-0.16439420676116467</v>
      </c>
      <c r="M38" s="285" cm="1">
        <f t="array" ref="M38">INDEX($D$2:$D$25, ROW()-ROW($G$33) + COLUMN()-COLUMN($G$33)+1)</f>
        <v>-0.23227562074778499</v>
      </c>
      <c r="N38" s="285" cm="1">
        <f t="array" ref="N38">INDEX($D$2:$D$25, ROW()-ROW($G$33) + COLUMN()-COLUMN($G$33)+1)</f>
        <v>-0.19498850236411205</v>
      </c>
      <c r="O38" s="285" cm="1">
        <f t="array" ref="O38">INDEX($D$2:$D$25, ROW()-ROW($G$33) + COLUMN()-COLUMN($G$33)+1)</f>
        <v>-4.4559229278070697E-2</v>
      </c>
      <c r="P38" s="285" cm="1">
        <f t="array" ref="P38">INDEX($D$2:$D$25, ROW()-ROW($G$33) + COLUMN()-COLUMN($G$33)+1)</f>
        <v>0.10321748548243581</v>
      </c>
      <c r="Q38" s="285" cm="1">
        <f t="array" ref="Q38">INDEX($D$2:$D$25, ROW()-ROW($G$33) + COLUMN()-COLUMN($G$33)+1)</f>
        <v>0.22213405380300993</v>
      </c>
      <c r="R38" s="285" cm="1">
        <f t="array" ref="R38">INDEX($D$2:$D$25, ROW()-ROW($G$33) + COLUMN()-COLUMN($G$33)+1)</f>
        <v>0.3200749800819026</v>
      </c>
      <c r="T38" s="283">
        <v>0</v>
      </c>
      <c r="U38" s="283">
        <v>0</v>
      </c>
      <c r="V38" s="283">
        <v>0</v>
      </c>
      <c r="W38" s="283">
        <v>0</v>
      </c>
      <c r="X38" s="283">
        <v>0</v>
      </c>
      <c r="Y38" s="284">
        <v>1.3851250077835173</v>
      </c>
      <c r="Z38" s="283">
        <v>0</v>
      </c>
      <c r="AA38" s="283">
        <v>0</v>
      </c>
      <c r="AB38" s="283">
        <v>0</v>
      </c>
      <c r="AC38" s="283">
        <v>0</v>
      </c>
      <c r="AD38" s="283">
        <v>0</v>
      </c>
      <c r="AE38" s="283">
        <v>0</v>
      </c>
      <c r="AF38" s="283">
        <v>0</v>
      </c>
      <c r="AP38" s="21">
        <f>Y38</f>
        <v>1.3851250077835173</v>
      </c>
      <c r="AQ38" s="176">
        <f t="shared" si="4"/>
        <v>6.2295285884754047E-2</v>
      </c>
      <c r="AR38" s="176">
        <f t="shared" si="5"/>
        <v>0.86175676622225394</v>
      </c>
    </row>
    <row r="39" spans="4:44" x14ac:dyDescent="0.3">
      <c r="D39" s="287">
        <v>-5.8979715939894969E-2</v>
      </c>
      <c r="E39" s="21"/>
      <c r="F39" s="286" cm="1">
        <f t="array" ref="F39">INDEX($D$2:$D$25, ROW()-ROW($F$33)+$K$1+1)</f>
        <v>0.50833670054933167</v>
      </c>
      <c r="G39" s="285" cm="1">
        <f t="array" ref="G39">INDEX($D$2:$D$25, ROW()-ROW($G$33) + COLUMN()-COLUMN($G$33)+1)</f>
        <v>0.15559405563548245</v>
      </c>
      <c r="H39" s="285" cm="1">
        <f t="array" ref="H39">INDEX($D$2:$D$25, ROW()-ROW($G$33) + COLUMN()-COLUMN($G$33)+1)</f>
        <v>0.14754279181357222</v>
      </c>
      <c r="I39" s="285" cm="1">
        <f t="array" ref="I39">INDEX($D$2:$D$25, ROW()-ROW($G$33) + COLUMN()-COLUMN($G$33)+1)</f>
        <v>0.10188155578965152</v>
      </c>
      <c r="J39" s="285" cm="1">
        <f t="array" ref="J39">INDEX($D$2:$D$25, ROW()-ROW($G$33) + COLUMN()-COLUMN($G$33)+1)</f>
        <v>-2.3654682936004923E-2</v>
      </c>
      <c r="K39" s="285" cm="1">
        <f t="array" ref="K39">INDEX($D$2:$D$25, ROW()-ROW($G$33) + COLUMN()-COLUMN($G$33)+1)</f>
        <v>-0.16439420676116467</v>
      </c>
      <c r="L39" s="285" cm="1">
        <f t="array" ref="L39">INDEX($D$2:$D$25, ROW()-ROW($G$33) + COLUMN()-COLUMN($G$33)+1)</f>
        <v>-0.23227562074778499</v>
      </c>
      <c r="M39" s="285" cm="1">
        <f t="array" ref="M39">INDEX($D$2:$D$25, ROW()-ROW($G$33) + COLUMN()-COLUMN($G$33)+1)</f>
        <v>-0.19498850236411205</v>
      </c>
      <c r="N39" s="285" cm="1">
        <f t="array" ref="N39">INDEX($D$2:$D$25, ROW()-ROW($G$33) + COLUMN()-COLUMN($G$33)+1)</f>
        <v>-4.4559229278070697E-2</v>
      </c>
      <c r="O39" s="285" cm="1">
        <f t="array" ref="O39">INDEX($D$2:$D$25, ROW()-ROW($G$33) + COLUMN()-COLUMN($G$33)+1)</f>
        <v>0.10321748548243581</v>
      </c>
      <c r="P39" s="285" cm="1">
        <f t="array" ref="P39">INDEX($D$2:$D$25, ROW()-ROW($G$33) + COLUMN()-COLUMN($G$33)+1)</f>
        <v>0.22213405380300993</v>
      </c>
      <c r="Q39" s="285" cm="1">
        <f t="array" ref="Q39">INDEX($D$2:$D$25, ROW()-ROW($G$33) + COLUMN()-COLUMN($G$33)+1)</f>
        <v>0.3200749800819026</v>
      </c>
      <c r="R39" s="285" cm="1">
        <f t="array" ref="R39">INDEX($D$2:$D$25, ROW()-ROW($G$33) + COLUMN()-COLUMN($G$33)+1)</f>
        <v>0.42185676979323672</v>
      </c>
      <c r="T39" s="283">
        <v>0</v>
      </c>
      <c r="U39" s="283">
        <v>0</v>
      </c>
      <c r="V39" s="283">
        <v>0</v>
      </c>
      <c r="W39" s="283">
        <v>0</v>
      </c>
      <c r="X39" s="283">
        <v>0</v>
      </c>
      <c r="Y39" s="283">
        <v>0</v>
      </c>
      <c r="Z39" s="284">
        <v>0.92471503596679783</v>
      </c>
      <c r="AA39" s="283">
        <v>0</v>
      </c>
      <c r="AB39" s="283">
        <v>0</v>
      </c>
      <c r="AC39" s="283">
        <v>0</v>
      </c>
      <c r="AD39" s="283">
        <v>0</v>
      </c>
      <c r="AE39" s="283">
        <v>0</v>
      </c>
      <c r="AF39" s="283">
        <v>0</v>
      </c>
      <c r="AP39" s="21">
        <f>Z39</f>
        <v>0.92471503596679783</v>
      </c>
      <c r="AQ39" s="176">
        <f t="shared" si="4"/>
        <v>4.1588583848949971E-2</v>
      </c>
      <c r="AR39" s="176">
        <f t="shared" si="5"/>
        <v>0.90334535007120387</v>
      </c>
    </row>
    <row r="40" spans="4:44" x14ac:dyDescent="0.3">
      <c r="D40" s="287">
        <v>-4.262064635259339E-2</v>
      </c>
      <c r="E40" s="21"/>
      <c r="F40" s="286" cm="1">
        <f t="array" ref="F40">INDEX($D$2:$D$25, ROW()-ROW($F$33)+$K$1+1)</f>
        <v>0.50544548102013864</v>
      </c>
      <c r="G40" s="285" cm="1">
        <f t="array" ref="G40">INDEX($D$2:$D$25, ROW()-ROW($G$33) + COLUMN()-COLUMN($G$33)+1)</f>
        <v>0.14754279181357222</v>
      </c>
      <c r="H40" s="285" cm="1">
        <f t="array" ref="H40">INDEX($D$2:$D$25, ROW()-ROW($G$33) + COLUMN()-COLUMN($G$33)+1)</f>
        <v>0.10188155578965152</v>
      </c>
      <c r="I40" s="285" cm="1">
        <f t="array" ref="I40">INDEX($D$2:$D$25, ROW()-ROW($G$33) + COLUMN()-COLUMN($G$33)+1)</f>
        <v>-2.3654682936004923E-2</v>
      </c>
      <c r="J40" s="285" cm="1">
        <f t="array" ref="J40">INDEX($D$2:$D$25, ROW()-ROW($G$33) + COLUMN()-COLUMN($G$33)+1)</f>
        <v>-0.16439420676116467</v>
      </c>
      <c r="K40" s="285" cm="1">
        <f t="array" ref="K40">INDEX($D$2:$D$25, ROW()-ROW($G$33) + COLUMN()-COLUMN($G$33)+1)</f>
        <v>-0.23227562074778499</v>
      </c>
      <c r="L40" s="285" cm="1">
        <f t="array" ref="L40">INDEX($D$2:$D$25, ROW()-ROW($G$33) + COLUMN()-COLUMN($G$33)+1)</f>
        <v>-0.19498850236411205</v>
      </c>
      <c r="M40" s="285" cm="1">
        <f t="array" ref="M40">INDEX($D$2:$D$25, ROW()-ROW($G$33) + COLUMN()-COLUMN($G$33)+1)</f>
        <v>-4.4559229278070697E-2</v>
      </c>
      <c r="N40" s="285" cm="1">
        <f t="array" ref="N40">INDEX($D$2:$D$25, ROW()-ROW($G$33) + COLUMN()-COLUMN($G$33)+1)</f>
        <v>0.10321748548243581</v>
      </c>
      <c r="O40" s="285" cm="1">
        <f t="array" ref="O40">INDEX($D$2:$D$25, ROW()-ROW($G$33) + COLUMN()-COLUMN($G$33)+1)</f>
        <v>0.22213405380300993</v>
      </c>
      <c r="P40" s="285" cm="1">
        <f t="array" ref="P40">INDEX($D$2:$D$25, ROW()-ROW($G$33) + COLUMN()-COLUMN($G$33)+1)</f>
        <v>0.3200749800819026</v>
      </c>
      <c r="Q40" s="285" cm="1">
        <f t="array" ref="Q40">INDEX($D$2:$D$25, ROW()-ROW($G$33) + COLUMN()-COLUMN($G$33)+1)</f>
        <v>0.42185676979323672</v>
      </c>
      <c r="R40" s="285" cm="1">
        <f t="array" ref="R40">INDEX($D$2:$D$25, ROW()-ROW($G$33) + COLUMN()-COLUMN($G$33)+1)</f>
        <v>0.50833670054933167</v>
      </c>
      <c r="T40" s="283">
        <v>0</v>
      </c>
      <c r="U40" s="283">
        <v>0</v>
      </c>
      <c r="V40" s="283">
        <v>0</v>
      </c>
      <c r="W40" s="283">
        <v>0</v>
      </c>
      <c r="X40" s="283">
        <v>0</v>
      </c>
      <c r="Y40" s="283">
        <v>0</v>
      </c>
      <c r="Z40" s="283">
        <v>0</v>
      </c>
      <c r="AA40" s="284">
        <v>0.70513698040828843</v>
      </c>
      <c r="AB40" s="283">
        <v>0</v>
      </c>
      <c r="AC40" s="283">
        <v>0</v>
      </c>
      <c r="AD40" s="283">
        <v>0</v>
      </c>
      <c r="AE40" s="283">
        <v>0</v>
      </c>
      <c r="AF40" s="283">
        <v>0</v>
      </c>
      <c r="AP40" s="21">
        <f>AA40</f>
        <v>0.70513698040828843</v>
      </c>
      <c r="AQ40" s="176">
        <f t="shared" si="4"/>
        <v>3.1713173566000542E-2</v>
      </c>
      <c r="AR40" s="176">
        <f t="shared" si="5"/>
        <v>0.93505852363720443</v>
      </c>
    </row>
    <row r="41" spans="4:44" x14ac:dyDescent="0.3">
      <c r="D41" s="287">
        <v>0.37179685327140632</v>
      </c>
      <c r="E41" s="21"/>
      <c r="F41" s="286" cm="1">
        <f t="array" ref="F41">INDEX($D$2:$D$25, ROW()-ROW($F$33)+$K$1+1)</f>
        <v>0.39113290805072887</v>
      </c>
      <c r="G41" s="285" cm="1">
        <f t="array" ref="G41">INDEX($D$2:$D$25, ROW()-ROW($G$33) + COLUMN()-COLUMN($G$33)+1)</f>
        <v>0.10188155578965152</v>
      </c>
      <c r="H41" s="285" cm="1">
        <f t="array" ref="H41">INDEX($D$2:$D$25, ROW()-ROW($G$33) + COLUMN()-COLUMN($G$33)+1)</f>
        <v>-2.3654682936004923E-2</v>
      </c>
      <c r="I41" s="285" cm="1">
        <f t="array" ref="I41">INDEX($D$2:$D$25, ROW()-ROW($G$33) + COLUMN()-COLUMN($G$33)+1)</f>
        <v>-0.16439420676116467</v>
      </c>
      <c r="J41" s="285" cm="1">
        <f t="array" ref="J41">INDEX($D$2:$D$25, ROW()-ROW($G$33) + COLUMN()-COLUMN($G$33)+1)</f>
        <v>-0.23227562074778499</v>
      </c>
      <c r="K41" s="285" cm="1">
        <f t="array" ref="K41">INDEX($D$2:$D$25, ROW()-ROW($G$33) + COLUMN()-COLUMN($G$33)+1)</f>
        <v>-0.19498850236411205</v>
      </c>
      <c r="L41" s="285" cm="1">
        <f t="array" ref="L41">INDEX($D$2:$D$25, ROW()-ROW($G$33) + COLUMN()-COLUMN($G$33)+1)</f>
        <v>-4.4559229278070697E-2</v>
      </c>
      <c r="M41" s="285" cm="1">
        <f t="array" ref="M41">INDEX($D$2:$D$25, ROW()-ROW($G$33) + COLUMN()-COLUMN($G$33)+1)</f>
        <v>0.10321748548243581</v>
      </c>
      <c r="N41" s="285" cm="1">
        <f t="array" ref="N41">INDEX($D$2:$D$25, ROW()-ROW($G$33) + COLUMN()-COLUMN($G$33)+1)</f>
        <v>0.22213405380300993</v>
      </c>
      <c r="O41" s="285" cm="1">
        <f t="array" ref="O41">INDEX($D$2:$D$25, ROW()-ROW($G$33) + COLUMN()-COLUMN($G$33)+1)</f>
        <v>0.3200749800819026</v>
      </c>
      <c r="P41" s="285" cm="1">
        <f t="array" ref="P41">INDEX($D$2:$D$25, ROW()-ROW($G$33) + COLUMN()-COLUMN($G$33)+1)</f>
        <v>0.42185676979323672</v>
      </c>
      <c r="Q41" s="285" cm="1">
        <f t="array" ref="Q41">INDEX($D$2:$D$25, ROW()-ROW($G$33) + COLUMN()-COLUMN($G$33)+1)</f>
        <v>0.50833670054933167</v>
      </c>
      <c r="R41" s="285" cm="1">
        <f t="array" ref="R41">INDEX($D$2:$D$25, ROW()-ROW($G$33) + COLUMN()-COLUMN($G$33)+1)</f>
        <v>0.50544548102013864</v>
      </c>
      <c r="T41" s="283">
        <v>0</v>
      </c>
      <c r="U41" s="283">
        <v>0</v>
      </c>
      <c r="V41" s="283">
        <v>0</v>
      </c>
      <c r="W41" s="283">
        <v>0</v>
      </c>
      <c r="X41" s="283">
        <v>0</v>
      </c>
      <c r="Y41" s="283">
        <v>0</v>
      </c>
      <c r="Z41" s="283">
        <v>0</v>
      </c>
      <c r="AA41" s="283">
        <v>0</v>
      </c>
      <c r="AB41" s="284">
        <v>0.58098862158702258</v>
      </c>
      <c r="AC41" s="283">
        <v>0</v>
      </c>
      <c r="AD41" s="283">
        <v>0</v>
      </c>
      <c r="AE41" s="283">
        <v>0</v>
      </c>
      <c r="AF41" s="283">
        <v>0</v>
      </c>
      <c r="AP41" s="21">
        <f>AB41</f>
        <v>0.58098862158702258</v>
      </c>
      <c r="AQ41" s="176">
        <f t="shared" si="4"/>
        <v>2.612966488524289E-2</v>
      </c>
      <c r="AR41" s="176">
        <f t="shared" si="5"/>
        <v>0.96118818852244736</v>
      </c>
    </row>
    <row r="42" spans="4:44" x14ac:dyDescent="0.3">
      <c r="D42" s="287">
        <v>2.004463629492257E-2</v>
      </c>
      <c r="E42" s="21"/>
      <c r="F42" s="286" cm="1">
        <f t="array" ref="F42">INDEX($D$2:$D$25, ROW()-ROW($F$33)+$K$1+1)</f>
        <v>0.19281585846169647</v>
      </c>
      <c r="G42" s="285" cm="1">
        <f t="array" ref="G42">INDEX($D$2:$D$25, ROW()-ROW($G$33) + COLUMN()-COLUMN($G$33)+1)</f>
        <v>-2.3654682936004923E-2</v>
      </c>
      <c r="H42" s="285" cm="1">
        <f t="array" ref="H42">INDEX($D$2:$D$25, ROW()-ROW($G$33) + COLUMN()-COLUMN($G$33)+1)</f>
        <v>-0.16439420676116467</v>
      </c>
      <c r="I42" s="285" cm="1">
        <f t="array" ref="I42">INDEX($D$2:$D$25, ROW()-ROW($G$33) + COLUMN()-COLUMN($G$33)+1)</f>
        <v>-0.23227562074778499</v>
      </c>
      <c r="J42" s="285" cm="1">
        <f t="array" ref="J42">INDEX($D$2:$D$25, ROW()-ROW($G$33) + COLUMN()-COLUMN($G$33)+1)</f>
        <v>-0.19498850236411205</v>
      </c>
      <c r="K42" s="285" cm="1">
        <f t="array" ref="K42">INDEX($D$2:$D$25, ROW()-ROW($G$33) + COLUMN()-COLUMN($G$33)+1)</f>
        <v>-4.4559229278070697E-2</v>
      </c>
      <c r="L42" s="285" cm="1">
        <f t="array" ref="L42">INDEX($D$2:$D$25, ROW()-ROW($G$33) + COLUMN()-COLUMN($G$33)+1)</f>
        <v>0.10321748548243581</v>
      </c>
      <c r="M42" s="285" cm="1">
        <f t="array" ref="M42">INDEX($D$2:$D$25, ROW()-ROW($G$33) + COLUMN()-COLUMN($G$33)+1)</f>
        <v>0.22213405380300993</v>
      </c>
      <c r="N42" s="285" cm="1">
        <f t="array" ref="N42">INDEX($D$2:$D$25, ROW()-ROW($G$33) + COLUMN()-COLUMN($G$33)+1)</f>
        <v>0.3200749800819026</v>
      </c>
      <c r="O42" s="285" cm="1">
        <f t="array" ref="O42">INDEX($D$2:$D$25, ROW()-ROW($G$33) + COLUMN()-COLUMN($G$33)+1)</f>
        <v>0.42185676979323672</v>
      </c>
      <c r="P42" s="285" cm="1">
        <f t="array" ref="P42">INDEX($D$2:$D$25, ROW()-ROW($G$33) + COLUMN()-COLUMN($G$33)+1)</f>
        <v>0.50833670054933167</v>
      </c>
      <c r="Q42" s="285" cm="1">
        <f t="array" ref="Q42">INDEX($D$2:$D$25, ROW()-ROW($G$33) + COLUMN()-COLUMN($G$33)+1)</f>
        <v>0.50544548102013864</v>
      </c>
      <c r="R42" s="285" cm="1">
        <f t="array" ref="R42">INDEX($D$2:$D$25, ROW()-ROW($G$33) + COLUMN()-COLUMN($G$33)+1)</f>
        <v>0.39113290805072887</v>
      </c>
      <c r="T42" s="283">
        <v>0</v>
      </c>
      <c r="U42" s="283">
        <v>0</v>
      </c>
      <c r="V42" s="283">
        <v>0</v>
      </c>
      <c r="W42" s="283">
        <v>0</v>
      </c>
      <c r="X42" s="283">
        <v>0</v>
      </c>
      <c r="Y42" s="283">
        <v>0</v>
      </c>
      <c r="Z42" s="283">
        <v>0</v>
      </c>
      <c r="AA42" s="283">
        <v>0</v>
      </c>
      <c r="AB42" s="283">
        <v>0</v>
      </c>
      <c r="AC42" s="284">
        <v>0.45502604223983856</v>
      </c>
      <c r="AD42" s="283">
        <v>0</v>
      </c>
      <c r="AE42" s="283">
        <v>0</v>
      </c>
      <c r="AF42" s="283">
        <v>0</v>
      </c>
      <c r="AP42" s="21">
        <f>AC42</f>
        <v>0.45502604223983856</v>
      </c>
      <c r="AQ42" s="176">
        <f t="shared" si="4"/>
        <v>2.0464562568037279E-2</v>
      </c>
      <c r="AR42" s="176">
        <f t="shared" si="5"/>
        <v>0.98165275109048467</v>
      </c>
    </row>
    <row r="43" spans="4:44" x14ac:dyDescent="0.3">
      <c r="D43" s="287">
        <v>0.1630420072130285</v>
      </c>
      <c r="F43" s="286" cm="1">
        <f t="array" ref="F43">INDEX($D$2:$D$25, ROW()-ROW($F$33)+$K$1+1)</f>
        <v>-1.8679982362733022E-3</v>
      </c>
      <c r="G43" s="285" cm="1">
        <f t="array" ref="G43">INDEX($D$2:$D$25, ROW()-ROW($G$33) + COLUMN()-COLUMN($G$33)+1)</f>
        <v>-0.16439420676116467</v>
      </c>
      <c r="H43" s="285" cm="1">
        <f t="array" ref="H43">INDEX($D$2:$D$25, ROW()-ROW($G$33) + COLUMN()-COLUMN($G$33)+1)</f>
        <v>-0.23227562074778499</v>
      </c>
      <c r="I43" s="285" cm="1">
        <f t="array" ref="I43">INDEX($D$2:$D$25, ROW()-ROW($G$33) + COLUMN()-COLUMN($G$33)+1)</f>
        <v>-0.19498850236411205</v>
      </c>
      <c r="J43" s="285" cm="1">
        <f t="array" ref="J43">INDEX($D$2:$D$25, ROW()-ROW($G$33) + COLUMN()-COLUMN($G$33)+1)</f>
        <v>-4.4559229278070697E-2</v>
      </c>
      <c r="K43" s="285" cm="1">
        <f t="array" ref="K43">INDEX($D$2:$D$25, ROW()-ROW($G$33) + COLUMN()-COLUMN($G$33)+1)</f>
        <v>0.10321748548243581</v>
      </c>
      <c r="L43" s="285" cm="1">
        <f t="array" ref="L43">INDEX($D$2:$D$25, ROW()-ROW($G$33) + COLUMN()-COLUMN($G$33)+1)</f>
        <v>0.22213405380300993</v>
      </c>
      <c r="M43" s="285" cm="1">
        <f t="array" ref="M43">INDEX($D$2:$D$25, ROW()-ROW($G$33) + COLUMN()-COLUMN($G$33)+1)</f>
        <v>0.3200749800819026</v>
      </c>
      <c r="N43" s="285" cm="1">
        <f t="array" ref="N43">INDEX($D$2:$D$25, ROW()-ROW($G$33) + COLUMN()-COLUMN($G$33)+1)</f>
        <v>0.42185676979323672</v>
      </c>
      <c r="O43" s="285" cm="1">
        <f t="array" ref="O43">INDEX($D$2:$D$25, ROW()-ROW($G$33) + COLUMN()-COLUMN($G$33)+1)</f>
        <v>0.50833670054933167</v>
      </c>
      <c r="P43" s="285" cm="1">
        <f t="array" ref="P43">INDEX($D$2:$D$25, ROW()-ROW($G$33) + COLUMN()-COLUMN($G$33)+1)</f>
        <v>0.50544548102013864</v>
      </c>
      <c r="Q43" s="285" cm="1">
        <f t="array" ref="Q43">INDEX($D$2:$D$25, ROW()-ROW($G$33) + COLUMN()-COLUMN($G$33)+1)</f>
        <v>0.39113290805072887</v>
      </c>
      <c r="R43" s="285" cm="1">
        <f t="array" ref="R43">INDEX($D$2:$D$25, ROW()-ROW($G$33) + COLUMN()-COLUMN($G$33)+1)</f>
        <v>0.19281585846169647</v>
      </c>
      <c r="T43" s="283">
        <v>0</v>
      </c>
      <c r="U43" s="283">
        <v>0</v>
      </c>
      <c r="V43" s="283">
        <v>0</v>
      </c>
      <c r="W43" s="283">
        <v>0</v>
      </c>
      <c r="X43" s="283">
        <v>0</v>
      </c>
      <c r="Y43" s="283">
        <v>0</v>
      </c>
      <c r="Z43" s="283">
        <v>0</v>
      </c>
      <c r="AA43" s="283">
        <v>0</v>
      </c>
      <c r="AB43" s="283">
        <v>0</v>
      </c>
      <c r="AC43" s="283">
        <v>0</v>
      </c>
      <c r="AD43" s="284">
        <v>0.35177254669005742</v>
      </c>
      <c r="AE43" s="283">
        <v>0</v>
      </c>
      <c r="AF43" s="283">
        <v>0</v>
      </c>
      <c r="AP43" s="21">
        <f>AD43</f>
        <v>0.35177254669005742</v>
      </c>
      <c r="AQ43" s="176">
        <f t="shared" si="4"/>
        <v>1.5820789632216389E-2</v>
      </c>
      <c r="AR43" s="176">
        <f t="shared" si="5"/>
        <v>0.997473540722701</v>
      </c>
    </row>
    <row r="44" spans="4:44" x14ac:dyDescent="0.3">
      <c r="D44" s="287">
        <v>-0.14045686655774628</v>
      </c>
      <c r="F44" s="286" cm="1">
        <f t="array" ref="F44">INDEX($D$2:$D$25, ROW()-ROW($F$33)+$K$1+1)</f>
        <v>-0.14238819822032237</v>
      </c>
      <c r="G44" s="285" cm="1">
        <f t="array" ref="G44">INDEX($D$2:$D$25, ROW()-ROW($G$33) + COLUMN()-COLUMN($G$33)+1)</f>
        <v>-0.23227562074778499</v>
      </c>
      <c r="H44" s="285" cm="1">
        <f t="array" ref="H44">INDEX($D$2:$D$25, ROW()-ROW($G$33) + COLUMN()-COLUMN($G$33)+1)</f>
        <v>-0.19498850236411205</v>
      </c>
      <c r="I44" s="285" cm="1">
        <f t="array" ref="I44">INDEX($D$2:$D$25, ROW()-ROW($G$33) + COLUMN()-COLUMN($G$33)+1)</f>
        <v>-4.4559229278070697E-2</v>
      </c>
      <c r="J44" s="285" cm="1">
        <f t="array" ref="J44">INDEX($D$2:$D$25, ROW()-ROW($G$33) + COLUMN()-COLUMN($G$33)+1)</f>
        <v>0.10321748548243581</v>
      </c>
      <c r="K44" s="285" cm="1">
        <f t="array" ref="K44">INDEX($D$2:$D$25, ROW()-ROW($G$33) + COLUMN()-COLUMN($G$33)+1)</f>
        <v>0.22213405380300993</v>
      </c>
      <c r="L44" s="285" cm="1">
        <f t="array" ref="L44">INDEX($D$2:$D$25, ROW()-ROW($G$33) + COLUMN()-COLUMN($G$33)+1)</f>
        <v>0.3200749800819026</v>
      </c>
      <c r="M44" s="285" cm="1">
        <f t="array" ref="M44">INDEX($D$2:$D$25, ROW()-ROW($G$33) + COLUMN()-COLUMN($G$33)+1)</f>
        <v>0.42185676979323672</v>
      </c>
      <c r="N44" s="285" cm="1">
        <f t="array" ref="N44">INDEX($D$2:$D$25, ROW()-ROW($G$33) + COLUMN()-COLUMN($G$33)+1)</f>
        <v>0.50833670054933167</v>
      </c>
      <c r="O44" s="285" cm="1">
        <f t="array" ref="O44">INDEX($D$2:$D$25, ROW()-ROW($G$33) + COLUMN()-COLUMN($G$33)+1)</f>
        <v>0.50544548102013864</v>
      </c>
      <c r="P44" s="285" cm="1">
        <f t="array" ref="P44">INDEX($D$2:$D$25, ROW()-ROW($G$33) + COLUMN()-COLUMN($G$33)+1)</f>
        <v>0.39113290805072887</v>
      </c>
      <c r="Q44" s="285" cm="1">
        <f t="array" ref="Q44">INDEX($D$2:$D$25, ROW()-ROW($G$33) + COLUMN()-COLUMN($G$33)+1)</f>
        <v>0.19281585846169647</v>
      </c>
      <c r="R44" s="285" cm="1">
        <f t="array" ref="R44">INDEX($D$2:$D$25, ROW()-ROW($G$33) + COLUMN()-COLUMN($G$33)+1)</f>
        <v>-1.8679982362733022E-3</v>
      </c>
      <c r="T44" s="283">
        <v>0</v>
      </c>
      <c r="U44" s="283">
        <v>0</v>
      </c>
      <c r="V44" s="283">
        <v>0</v>
      </c>
      <c r="W44" s="283">
        <v>0</v>
      </c>
      <c r="X44" s="283">
        <v>0</v>
      </c>
      <c r="Y44" s="283">
        <v>0</v>
      </c>
      <c r="Z44" s="283">
        <v>0</v>
      </c>
      <c r="AA44" s="283">
        <v>0</v>
      </c>
      <c r="AB44" s="283">
        <v>0</v>
      </c>
      <c r="AC44" s="283">
        <v>0</v>
      </c>
      <c r="AD44" s="283">
        <v>0</v>
      </c>
      <c r="AE44" s="284">
        <v>5.6175389139515933E-2</v>
      </c>
      <c r="AF44" s="283">
        <v>0</v>
      </c>
      <c r="AP44" s="21">
        <f>AE44</f>
        <v>5.6175389139515933E-2</v>
      </c>
      <c r="AQ44" s="176">
        <f t="shared" si="4"/>
        <v>2.5264592772989533E-3</v>
      </c>
      <c r="AR44" s="176">
        <f t="shared" si="5"/>
        <v>1</v>
      </c>
    </row>
    <row r="45" spans="4:44" x14ac:dyDescent="0.3">
      <c r="D45" s="282">
        <v>0</v>
      </c>
      <c r="F45" s="21" t="str">
        <f ca="1">_xlfn.FORMULATEXT(F33)</f>
        <v>=INDEX($D$2:$D$25, ROW()-ROW($F$33)+$K$1+1)</v>
      </c>
      <c r="T45" t="str">
        <f ca="1">_xlfn.FORMULATEXT(T33)</f>
        <v>=SVD_D(F2:R13)</v>
      </c>
      <c r="AP45" s="21">
        <f>SUM(AP33:AP44)</f>
        <v>22.23482865695474</v>
      </c>
    </row>
    <row r="46" spans="4:44" x14ac:dyDescent="0.3">
      <c r="D46" s="1" t="str">
        <f ca="1">_xlfn.FORMULATEXT(D33)</f>
        <v>=TRANSPOSE(LINEST(F33:F44,G33:R44,FALSE,FALSE))</v>
      </c>
      <c r="G46" s="21" t="str">
        <f ca="1">_xlfn.FORMULATEXT(G33)</f>
        <v>=INDEX($D$2:$D$25, ROW()-ROW($G$33) + COLUMN()-COLUMN($G$33)+1)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86939-0B25-443F-A105-A8E31FDB94D9}">
  <dimension ref="A1:AI45"/>
  <sheetViews>
    <sheetView zoomScale="80" zoomScaleNormal="80" workbookViewId="0">
      <selection activeCell="E1" sqref="E1"/>
    </sheetView>
  </sheetViews>
  <sheetFormatPr defaultRowHeight="14.4" x14ac:dyDescent="0.3"/>
  <cols>
    <col min="1" max="1" width="10.33203125" customWidth="1"/>
    <col min="2" max="2" width="11.44140625" customWidth="1"/>
    <col min="3" max="3" width="10.44140625" customWidth="1"/>
    <col min="4" max="4" width="11.5546875" customWidth="1"/>
    <col min="5" max="5" width="6.33203125" customWidth="1"/>
    <col min="6" max="6" width="11.5546875" customWidth="1"/>
    <col min="7" max="18" width="8.44140625" customWidth="1"/>
    <col min="20" max="33" width="9" customWidth="1"/>
    <col min="34" max="34" width="11.33203125" customWidth="1"/>
  </cols>
  <sheetData>
    <row r="1" spans="1:35" x14ac:dyDescent="0.3">
      <c r="A1" t="s">
        <v>493</v>
      </c>
      <c r="B1" t="s">
        <v>492</v>
      </c>
      <c r="C1" t="s">
        <v>491</v>
      </c>
      <c r="D1" t="s">
        <v>490</v>
      </c>
      <c r="F1" t="s">
        <v>489</v>
      </c>
      <c r="H1" s="297" t="s">
        <v>488</v>
      </c>
      <c r="I1" s="296">
        <f>COUNT(C2:C25)</f>
        <v>24</v>
      </c>
      <c r="J1" s="297" t="s">
        <v>487</v>
      </c>
      <c r="K1" s="296">
        <v>12</v>
      </c>
      <c r="L1" s="297" t="s">
        <v>486</v>
      </c>
      <c r="M1" s="296">
        <f>I1-K1+1</f>
        <v>13</v>
      </c>
      <c r="T1" t="s">
        <v>456</v>
      </c>
      <c r="AI1" t="s">
        <v>496</v>
      </c>
    </row>
    <row r="2" spans="1:35" x14ac:dyDescent="0.3">
      <c r="A2" vm="1">
        <v>201.08</v>
      </c>
      <c r="B2" s="293">
        <f t="shared" ref="B2:B29" si="0">D2*_xlfn.STDEV.S($A$2:$A$25)+AVERAGE($A$2:$A$25)</f>
        <v>206.51056661803673</v>
      </c>
      <c r="C2" s="21">
        <f t="shared" ref="C2:C25" si="1">(A2-AVERAGE($A$2:$A$25))/_xlfn.STDEV.S($A$2:$A$25)</f>
        <v>-3.0317408288182253</v>
      </c>
      <c r="D2" s="292" cm="1">
        <f t="array" ref="D2">AVERAGE(IF(((ROW($F$17:$R$28)-ROW($F$17)+1)+(COLUMN($F$17:$R$28)-COLUMN($F$17)+1)) = ROW()-ROW($D$2)+2, $F$17:$R$28))</f>
        <v>-1.3025487017845694</v>
      </c>
      <c r="F2" s="21" cm="1">
        <f t="array" ref="F2">INDEX($C$2:$C$25, ROW()-ROW($F$2)+1 + COLUMN()-COLUMN($F$2))</f>
        <v>-3.0317408288182253</v>
      </c>
      <c r="G2" s="21" cm="1">
        <f t="array" ref="G2">INDEX($C$2:$C$25, ROW()-ROW($F$2)+1 + COLUMN()-COLUMN($F$2))</f>
        <v>-1.72940972839901</v>
      </c>
      <c r="H2" s="21" cm="1">
        <f t="array" ref="H2">INDEX($C$2:$C$25, ROW()-ROW($F$2)+1 + COLUMN()-COLUMN($F$2))</f>
        <v>-0.88560106920317883</v>
      </c>
      <c r="I2" s="21" cm="1">
        <f t="array" ref="I2">INDEX($C$2:$C$25, ROW()-ROW($F$2)+1 + COLUMN()-COLUMN($F$2))</f>
        <v>0.58549176305521167</v>
      </c>
      <c r="J2" s="21" cm="1">
        <f t="array" ref="J2">INDEX($C$2:$C$25, ROW()-ROW($F$2)+1 + COLUMN()-COLUMN($F$2))</f>
        <v>0.93893614483158216</v>
      </c>
      <c r="K2" s="21" cm="1">
        <f t="array" ref="K2">INDEX($C$2:$C$25, ROW()-ROW($F$2)+1 + COLUMN()-COLUMN($F$2))</f>
        <v>-0.20736995822691004</v>
      </c>
      <c r="L2" s="21" cm="1">
        <f t="array" ref="L2">INDEX($C$2:$C$25, ROW()-ROW($F$2)+1 + COLUMN()-COLUMN($F$2))</f>
        <v>-0.18826485650926789</v>
      </c>
      <c r="M2" s="21" cm="1">
        <f t="array" ref="M2">INDEX($C$2:$C$25, ROW()-ROW($F$2)+1 + COLUMN()-COLUMN($F$2))</f>
        <v>0.17154789250631067</v>
      </c>
      <c r="N2" s="21" cm="1">
        <f t="array" ref="N2">INDEX($C$2:$C$25, ROW()-ROW($F$2)+1 + COLUMN()-COLUMN($F$2))</f>
        <v>0.57593921219639055</v>
      </c>
      <c r="O2" s="21" cm="1">
        <f t="array" ref="O2">INDEX($C$2:$C$25, ROW()-ROW($F$2)+1 + COLUMN()-COLUMN($F$2))</f>
        <v>0.17791625974552772</v>
      </c>
      <c r="P2" s="21" cm="1">
        <f t="array" ref="P2">INDEX($C$2:$C$25, ROW()-ROW($F$2)+1 + COLUMN()-COLUMN($F$2))</f>
        <v>-0.630866379634623</v>
      </c>
      <c r="Q2" s="21" cm="1">
        <f t="array" ref="Q2">INDEX($C$2:$C$25, ROW()-ROW($F$2)+1 + COLUMN()-COLUMN($F$2))</f>
        <v>-0.4748413822738819</v>
      </c>
      <c r="R2" s="21" cm="1">
        <f t="array" ref="R2">INDEX($C$2:$C$25, ROW()-ROW($F$2)+1 + COLUMN()-COLUMN($F$2))</f>
        <v>-0.14050210221516254</v>
      </c>
      <c r="T2" s="295" cm="1">
        <f t="array" ref="T2:AE13">[2]!SVD_U(F2:R13)</f>
        <v>-0.48960794641679939</v>
      </c>
      <c r="U2" s="295">
        <v>-0.44308754368583408</v>
      </c>
      <c r="V2" s="295">
        <v>-0.46841190450259473</v>
      </c>
      <c r="W2" s="295">
        <v>0.33113118376430717</v>
      </c>
      <c r="X2" s="295">
        <v>-0.34509671246232837</v>
      </c>
      <c r="Y2" s="295">
        <v>-0.27477392507940834</v>
      </c>
      <c r="Z2" s="295">
        <v>-1.4597656760384827E-2</v>
      </c>
      <c r="AA2" s="295">
        <v>-0.12582420628037805</v>
      </c>
      <c r="AB2" s="295">
        <v>-1.4666658546789821E-3</v>
      </c>
      <c r="AC2" s="295">
        <v>-7.369754408182054E-2</v>
      </c>
      <c r="AD2" s="295">
        <v>-5.8618929370407753E-2</v>
      </c>
      <c r="AE2" s="295">
        <v>0.12406846084839371</v>
      </c>
      <c r="AH2" s="291" vm="21">
        <v>45835</v>
      </c>
      <c r="AI2" s="21">
        <f t="shared" ref="AI2:AI25" si="2">A2-B2</f>
        <v>-5.4305666180367211</v>
      </c>
    </row>
    <row r="3" spans="1:35" x14ac:dyDescent="0.3">
      <c r="A3" vm="2">
        <v>205.17</v>
      </c>
      <c r="B3" s="293">
        <f t="shared" si="0"/>
        <v>208.25237659053496</v>
      </c>
      <c r="C3" s="21">
        <f t="shared" si="1"/>
        <v>-1.72940972839901</v>
      </c>
      <c r="D3" s="292" cm="1">
        <f t="array" ref="D3">AVERAGE(IF(((ROW($F$17:$R$28)-ROW($F$17)+1)+(COLUMN($F$17:$R$28)-COLUMN($F$17)+1)) = ROW()-ROW($D$2)+2, $F$17:$R$28))</f>
        <v>-0.74792442349488852</v>
      </c>
      <c r="F3" s="21" cm="1">
        <f t="array" ref="F3">INDEX($C$2:$C$25, ROW()-ROW($F$2)+1 + COLUMN()-COLUMN($F$2))</f>
        <v>-1.72940972839901</v>
      </c>
      <c r="G3" s="21" cm="1">
        <f t="array" ref="G3">INDEX($C$2:$C$25, ROW()-ROW($F$2)+1 + COLUMN()-COLUMN($F$2))</f>
        <v>-0.88560106920317883</v>
      </c>
      <c r="H3" s="21" cm="1">
        <f t="array" ref="H3">INDEX($C$2:$C$25, ROW()-ROW($F$2)+1 + COLUMN()-COLUMN($F$2))</f>
        <v>0.58549176305521167</v>
      </c>
      <c r="I3" s="21" cm="1">
        <f t="array" ref="I3">INDEX($C$2:$C$25, ROW()-ROW($F$2)+1 + COLUMN()-COLUMN($F$2))</f>
        <v>0.93893614483158216</v>
      </c>
      <c r="J3" s="21" cm="1">
        <f t="array" ref="J3">INDEX($C$2:$C$25, ROW()-ROW($F$2)+1 + COLUMN()-COLUMN($F$2))</f>
        <v>-0.20736995822691004</v>
      </c>
      <c r="K3" s="21" cm="1">
        <f t="array" ref="K3">INDEX($C$2:$C$25, ROW()-ROW($F$2)+1 + COLUMN()-COLUMN($F$2))</f>
        <v>-0.18826485650926789</v>
      </c>
      <c r="L3" s="21" cm="1">
        <f t="array" ref="L3">INDEX($C$2:$C$25, ROW()-ROW($F$2)+1 + COLUMN()-COLUMN($F$2))</f>
        <v>0.17154789250631067</v>
      </c>
      <c r="M3" s="21" cm="1">
        <f t="array" ref="M3">INDEX($C$2:$C$25, ROW()-ROW($F$2)+1 + COLUMN()-COLUMN($F$2))</f>
        <v>0.57593921219639055</v>
      </c>
      <c r="N3" s="21" cm="1">
        <f t="array" ref="N3">INDEX($C$2:$C$25, ROW()-ROW($F$2)+1 + COLUMN()-COLUMN($F$2))</f>
        <v>0.17791625974552772</v>
      </c>
      <c r="O3" s="21" cm="1">
        <f t="array" ref="O3">INDEX($C$2:$C$25, ROW()-ROW($F$2)+1 + COLUMN()-COLUMN($F$2))</f>
        <v>-0.630866379634623</v>
      </c>
      <c r="P3" s="21" cm="1">
        <f t="array" ref="P3">INDEX($C$2:$C$25, ROW()-ROW($F$2)+1 + COLUMN()-COLUMN($F$2))</f>
        <v>-0.4748413822738819</v>
      </c>
      <c r="Q3" s="21" cm="1">
        <f t="array" ref="Q3">INDEX($C$2:$C$25, ROW()-ROW($F$2)+1 + COLUMN()-COLUMN($F$2))</f>
        <v>-0.14050210221516254</v>
      </c>
      <c r="R3" s="21" cm="1">
        <f t="array" ref="R3">INDEX($C$2:$C$25, ROW()-ROW($F$2)+1 + COLUMN()-COLUMN($F$2))</f>
        <v>-0.18508067288965485</v>
      </c>
      <c r="T3" s="295">
        <v>-0.32885465613629761</v>
      </c>
      <c r="U3" s="295">
        <v>-0.18973446408202602</v>
      </c>
      <c r="V3" s="295">
        <v>-0.28595532119196387</v>
      </c>
      <c r="W3" s="295">
        <v>-0.34782026696915941</v>
      </c>
      <c r="X3" s="295">
        <v>0.2431695849269008</v>
      </c>
      <c r="Y3" s="295">
        <v>0.34330773450930258</v>
      </c>
      <c r="Z3" s="295">
        <v>-0.27075171160895162</v>
      </c>
      <c r="AA3" s="295">
        <v>0.49301687337019545</v>
      </c>
      <c r="AB3" s="295">
        <v>-3.9590232018278604E-2</v>
      </c>
      <c r="AC3" s="295">
        <v>-0.20486365722331207</v>
      </c>
      <c r="AD3" s="295">
        <v>6.6500444302613551E-3</v>
      </c>
      <c r="AE3" s="295">
        <v>-0.34082482664410912</v>
      </c>
      <c r="AH3" s="291" vm="22">
        <v>45838</v>
      </c>
      <c r="AI3" s="21">
        <f t="shared" si="2"/>
        <v>-3.0823765905349774</v>
      </c>
    </row>
    <row r="4" spans="1:35" x14ac:dyDescent="0.3">
      <c r="A4" vm="3">
        <v>207.82</v>
      </c>
      <c r="B4" s="293">
        <f t="shared" si="0"/>
        <v>209.88528863463651</v>
      </c>
      <c r="C4" s="21">
        <f t="shared" si="1"/>
        <v>-0.88560106920317883</v>
      </c>
      <c r="D4" s="292" cm="1">
        <f t="array" ref="D4">AVERAGE(IF(((ROW($F$17:$R$28)-ROW($F$17)+1)+(COLUMN($F$17:$R$28)-COLUMN($F$17)+1)) = ROW()-ROW($D$2)+2, $F$17:$R$28))</f>
        <v>-0.22797524518618995</v>
      </c>
      <c r="F4" s="21" cm="1">
        <f t="array" ref="F4">INDEX($C$2:$C$25, ROW()-ROW($F$2)+1 + COLUMN()-COLUMN($F$2))</f>
        <v>-0.88560106920317883</v>
      </c>
      <c r="G4" s="21" cm="1">
        <f t="array" ref="G4">INDEX($C$2:$C$25, ROW()-ROW($F$2)+1 + COLUMN()-COLUMN($F$2))</f>
        <v>0.58549176305521167</v>
      </c>
      <c r="H4" s="21" cm="1">
        <f t="array" ref="H4">INDEX($C$2:$C$25, ROW()-ROW($F$2)+1 + COLUMN()-COLUMN($F$2))</f>
        <v>0.93893614483158216</v>
      </c>
      <c r="I4" s="21" cm="1">
        <f t="array" ref="I4">INDEX($C$2:$C$25, ROW()-ROW($F$2)+1 + COLUMN()-COLUMN($F$2))</f>
        <v>-0.20736995822691004</v>
      </c>
      <c r="J4" s="21" cm="1">
        <f t="array" ref="J4">INDEX($C$2:$C$25, ROW()-ROW($F$2)+1 + COLUMN()-COLUMN($F$2))</f>
        <v>-0.18826485650926789</v>
      </c>
      <c r="K4" s="21" cm="1">
        <f t="array" ref="K4">INDEX($C$2:$C$25, ROW()-ROW($F$2)+1 + COLUMN()-COLUMN($F$2))</f>
        <v>0.17154789250631067</v>
      </c>
      <c r="L4" s="21" cm="1">
        <f t="array" ref="L4">INDEX($C$2:$C$25, ROW()-ROW($F$2)+1 + COLUMN()-COLUMN($F$2))</f>
        <v>0.57593921219639055</v>
      </c>
      <c r="M4" s="21" cm="1">
        <f t="array" ref="M4">INDEX($C$2:$C$25, ROW()-ROW($F$2)+1 + COLUMN()-COLUMN($F$2))</f>
        <v>0.17791625974552772</v>
      </c>
      <c r="N4" s="21" cm="1">
        <f t="array" ref="N4">INDEX($C$2:$C$25, ROW()-ROW($F$2)+1 + COLUMN()-COLUMN($F$2))</f>
        <v>-0.630866379634623</v>
      </c>
      <c r="O4" s="21" cm="1">
        <f t="array" ref="O4">INDEX($C$2:$C$25, ROW()-ROW($F$2)+1 + COLUMN()-COLUMN($F$2))</f>
        <v>-0.4748413822738819</v>
      </c>
      <c r="P4" s="21" cm="1">
        <f t="array" ref="P4">INDEX($C$2:$C$25, ROW()-ROW($F$2)+1 + COLUMN()-COLUMN($F$2))</f>
        <v>-0.14050210221516254</v>
      </c>
      <c r="Q4" s="21" cm="1">
        <f t="array" ref="Q4">INDEX($C$2:$C$25, ROW()-ROW($F$2)+1 + COLUMN()-COLUMN($F$2))</f>
        <v>-0.18508067288965485</v>
      </c>
      <c r="R4" s="21" cm="1">
        <f t="array" ref="R4">INDEX($C$2:$C$25, ROW()-ROW($F$2)+1 + COLUMN()-COLUMN($F$2))</f>
        <v>0.18428462698474479</v>
      </c>
      <c r="T4" s="295">
        <v>-0.10963627258591012</v>
      </c>
      <c r="U4" s="295">
        <v>4.9777898867963036E-2</v>
      </c>
      <c r="V4" s="295">
        <v>-7.1670232947607529E-3</v>
      </c>
      <c r="W4" s="295">
        <v>-0.61486026889681866</v>
      </c>
      <c r="X4" s="295">
        <v>-0.40839357294856654</v>
      </c>
      <c r="Y4" s="295">
        <v>0.10018674260906334</v>
      </c>
      <c r="Z4" s="295">
        <v>-0.37336353492963353</v>
      </c>
      <c r="AA4" s="295">
        <v>-0.22143055771025838</v>
      </c>
      <c r="AB4" s="295">
        <v>0.28653086338066863</v>
      </c>
      <c r="AC4" s="295">
        <v>0.22725810537881422</v>
      </c>
      <c r="AD4" s="295">
        <v>2.7835705133147072E-2</v>
      </c>
      <c r="AE4" s="295">
        <v>0.32805793465985122</v>
      </c>
      <c r="AH4" s="291" vm="23">
        <v>45839</v>
      </c>
      <c r="AI4" s="21">
        <f t="shared" si="2"/>
        <v>-2.0652886346365165</v>
      </c>
    </row>
    <row r="5" spans="1:35" x14ac:dyDescent="0.3">
      <c r="A5" vm="4">
        <v>212.44</v>
      </c>
      <c r="B5" s="293">
        <f t="shared" si="0"/>
        <v>211.10847210585953</v>
      </c>
      <c r="C5" s="21">
        <f t="shared" si="1"/>
        <v>0.58549176305521167</v>
      </c>
      <c r="D5" s="292" cm="1">
        <f t="array" ref="D5">AVERAGE(IF(((ROW($F$17:$R$28)-ROW($F$17)+1)+(COLUMN($F$17:$R$28)-COLUMN($F$17)+1)) = ROW()-ROW($D$2)+2, $F$17:$R$28))</f>
        <v>0.16150883209803968</v>
      </c>
      <c r="F5" s="21" cm="1">
        <f t="array" ref="F5">INDEX($C$2:$C$25, ROW()-ROW($F$2)+1 + COLUMN()-COLUMN($F$2))</f>
        <v>0.58549176305521167</v>
      </c>
      <c r="G5" s="21" cm="1">
        <f t="array" ref="G5">INDEX($C$2:$C$25, ROW()-ROW($F$2)+1 + COLUMN()-COLUMN($F$2))</f>
        <v>0.93893614483158216</v>
      </c>
      <c r="H5" s="21" cm="1">
        <f t="array" ref="H5">INDEX($C$2:$C$25, ROW()-ROW($F$2)+1 + COLUMN()-COLUMN($F$2))</f>
        <v>-0.20736995822691004</v>
      </c>
      <c r="I5" s="21" cm="1">
        <f t="array" ref="I5">INDEX($C$2:$C$25, ROW()-ROW($F$2)+1 + COLUMN()-COLUMN($F$2))</f>
        <v>-0.18826485650926789</v>
      </c>
      <c r="J5" s="21" cm="1">
        <f t="array" ref="J5">INDEX($C$2:$C$25, ROW()-ROW($F$2)+1 + COLUMN()-COLUMN($F$2))</f>
        <v>0.17154789250631067</v>
      </c>
      <c r="K5" s="21" cm="1">
        <f t="array" ref="K5">INDEX($C$2:$C$25, ROW()-ROW($F$2)+1 + COLUMN()-COLUMN($F$2))</f>
        <v>0.57593921219639055</v>
      </c>
      <c r="L5" s="21" cm="1">
        <f t="array" ref="L5">INDEX($C$2:$C$25, ROW()-ROW($F$2)+1 + COLUMN()-COLUMN($F$2))</f>
        <v>0.17791625974552772</v>
      </c>
      <c r="M5" s="21" cm="1">
        <f t="array" ref="M5">INDEX($C$2:$C$25, ROW()-ROW($F$2)+1 + COLUMN()-COLUMN($F$2))</f>
        <v>-0.630866379634623</v>
      </c>
      <c r="N5" s="21" cm="1">
        <f t="array" ref="N5">INDEX($C$2:$C$25, ROW()-ROW($F$2)+1 + COLUMN()-COLUMN($F$2))</f>
        <v>-0.4748413822738819</v>
      </c>
      <c r="O5" s="21" cm="1">
        <f t="array" ref="O5">INDEX($C$2:$C$25, ROW()-ROW($F$2)+1 + COLUMN()-COLUMN($F$2))</f>
        <v>-0.14050210221516254</v>
      </c>
      <c r="P5" s="21" cm="1">
        <f t="array" ref="P5">INDEX($C$2:$C$25, ROW()-ROW($F$2)+1 + COLUMN()-COLUMN($F$2))</f>
        <v>-0.18508067288965485</v>
      </c>
      <c r="Q5" s="21" cm="1">
        <f t="array" ref="Q5">INDEX($C$2:$C$25, ROW()-ROW($F$2)+1 + COLUMN()-COLUMN($F$2))</f>
        <v>0.18428462698474479</v>
      </c>
      <c r="R5" s="21" cm="1">
        <f t="array" ref="R5">INDEX($C$2:$C$25, ROW()-ROW($F$2)+1 + COLUMN()-COLUMN($F$2))</f>
        <v>0.59822849753363672</v>
      </c>
      <c r="T5" s="295">
        <v>0.11540275670783566</v>
      </c>
      <c r="U5" s="295">
        <v>0.20338419471669072</v>
      </c>
      <c r="V5" s="295">
        <v>9.5276650978825525E-2</v>
      </c>
      <c r="W5" s="295">
        <v>5.3825819527421367E-2</v>
      </c>
      <c r="X5" s="295">
        <v>-0.62086859603164435</v>
      </c>
      <c r="Y5" s="295">
        <v>0.17916606041180644</v>
      </c>
      <c r="Z5" s="295">
        <v>-0.19064020645355828</v>
      </c>
      <c r="AA5" s="295">
        <v>7.8548195224985903E-3</v>
      </c>
      <c r="AB5" s="295">
        <v>-0.56104600242762181</v>
      </c>
      <c r="AC5" s="295">
        <v>-0.30958864293750804</v>
      </c>
      <c r="AD5" s="295">
        <v>-0.15574201238253552</v>
      </c>
      <c r="AE5" s="295">
        <v>-0.2109151907024901</v>
      </c>
      <c r="AH5" s="291" vm="24">
        <v>45840</v>
      </c>
      <c r="AI5" s="21">
        <f t="shared" si="2"/>
        <v>1.3315278941404642</v>
      </c>
    </row>
    <row r="6" spans="1:35" x14ac:dyDescent="0.3">
      <c r="A6" vm="5">
        <v>213.55</v>
      </c>
      <c r="B6" s="293">
        <f t="shared" si="0"/>
        <v>211.44188158184213</v>
      </c>
      <c r="C6" s="21">
        <f t="shared" si="1"/>
        <v>0.93893614483158216</v>
      </c>
      <c r="D6" s="292" cm="1">
        <f t="array" ref="D6">AVERAGE(IF(((ROW($F$17:$R$28)-ROW($F$17)+1)+(COLUMN($F$17:$R$28)-COLUMN($F$17)+1)) = ROW()-ROW($D$2)+2, $F$17:$R$28))</f>
        <v>0.26767253130258817</v>
      </c>
      <c r="F6" s="21" cm="1">
        <f t="array" ref="F6">INDEX($C$2:$C$25, ROW()-ROW($F$2)+1 + COLUMN()-COLUMN($F$2))</f>
        <v>0.93893614483158216</v>
      </c>
      <c r="G6" s="21" cm="1">
        <f t="array" ref="G6">INDEX($C$2:$C$25, ROW()-ROW($F$2)+1 + COLUMN()-COLUMN($F$2))</f>
        <v>-0.20736995822691004</v>
      </c>
      <c r="H6" s="21" cm="1">
        <f t="array" ref="H6">INDEX($C$2:$C$25, ROW()-ROW($F$2)+1 + COLUMN()-COLUMN($F$2))</f>
        <v>-0.18826485650926789</v>
      </c>
      <c r="I6" s="21" cm="1">
        <f t="array" ref="I6">INDEX($C$2:$C$25, ROW()-ROW($F$2)+1 + COLUMN()-COLUMN($F$2))</f>
        <v>0.17154789250631067</v>
      </c>
      <c r="J6" s="21" cm="1">
        <f t="array" ref="J6">INDEX($C$2:$C$25, ROW()-ROW($F$2)+1 + COLUMN()-COLUMN($F$2))</f>
        <v>0.57593921219639055</v>
      </c>
      <c r="K6" s="21" cm="1">
        <f t="array" ref="K6">INDEX($C$2:$C$25, ROW()-ROW($F$2)+1 + COLUMN()-COLUMN($F$2))</f>
        <v>0.17791625974552772</v>
      </c>
      <c r="L6" s="21" cm="1">
        <f t="array" ref="L6">INDEX($C$2:$C$25, ROW()-ROW($F$2)+1 + COLUMN()-COLUMN($F$2))</f>
        <v>-0.630866379634623</v>
      </c>
      <c r="M6" s="21" cm="1">
        <f t="array" ref="M6">INDEX($C$2:$C$25, ROW()-ROW($F$2)+1 + COLUMN()-COLUMN($F$2))</f>
        <v>-0.4748413822738819</v>
      </c>
      <c r="N6" s="21" cm="1">
        <f t="array" ref="N6">INDEX($C$2:$C$25, ROW()-ROW($F$2)+1 + COLUMN()-COLUMN($F$2))</f>
        <v>-0.14050210221516254</v>
      </c>
      <c r="O6" s="21" cm="1">
        <f t="array" ref="O6">INDEX($C$2:$C$25, ROW()-ROW($F$2)+1 + COLUMN()-COLUMN($F$2))</f>
        <v>-0.18508067288965485</v>
      </c>
      <c r="P6" s="21" cm="1">
        <f t="array" ref="P6">INDEX($C$2:$C$25, ROW()-ROW($F$2)+1 + COLUMN()-COLUMN($F$2))</f>
        <v>0.18428462698474479</v>
      </c>
      <c r="Q6" s="21" cm="1">
        <f t="array" ref="Q6">INDEX($C$2:$C$25, ROW()-ROW($F$2)+1 + COLUMN()-COLUMN($F$2))</f>
        <v>0.59822849753363672</v>
      </c>
      <c r="R6" s="21" cm="1">
        <f t="array" ref="R6">INDEX($C$2:$C$25, ROW()-ROW($F$2)+1 + COLUMN()-COLUMN($F$2))</f>
        <v>1.2095917524981672</v>
      </c>
      <c r="T6" s="295">
        <v>0.19284492930655123</v>
      </c>
      <c r="U6" s="295">
        <v>0.15061647598145328</v>
      </c>
      <c r="V6" s="295">
        <v>-0.21541743598548091</v>
      </c>
      <c r="W6" s="295">
        <v>0.40099773258911758</v>
      </c>
      <c r="X6" s="295">
        <v>-0.18602561539770826</v>
      </c>
      <c r="Y6" s="295">
        <v>0.55280157657590989</v>
      </c>
      <c r="Z6" s="295">
        <v>-1.0225766418461308E-2</v>
      </c>
      <c r="AA6" s="295">
        <v>2.3942261070643463E-2</v>
      </c>
      <c r="AB6" s="295">
        <v>0.58205703842686329</v>
      </c>
      <c r="AC6" s="295">
        <v>-0.22468254871586754</v>
      </c>
      <c r="AD6" s="295">
        <v>3.7871755531007981E-2</v>
      </c>
      <c r="AE6" s="295">
        <v>3.6631035691986787E-2</v>
      </c>
      <c r="AH6" s="291" vm="25">
        <v>45841</v>
      </c>
      <c r="AI6" s="21">
        <f t="shared" si="2"/>
        <v>2.1081184181578863</v>
      </c>
    </row>
    <row r="7" spans="1:35" x14ac:dyDescent="0.3">
      <c r="A7" vm="6">
        <v>209.95</v>
      </c>
      <c r="B7" s="293">
        <f t="shared" si="0"/>
        <v>211.20079069207682</v>
      </c>
      <c r="C7" s="21">
        <f t="shared" si="1"/>
        <v>-0.20736995822691004</v>
      </c>
      <c r="D7" s="292" cm="1">
        <f t="array" ref="D7">AVERAGE(IF(((ROW($F$17:$R$28)-ROW($F$17)+1)+(COLUMN($F$17:$R$28)-COLUMN($F$17)+1)) = ROW()-ROW($D$2)+2, $F$17:$R$28))</f>
        <v>0.19090476509987012</v>
      </c>
      <c r="F7" s="21" cm="1">
        <f t="array" ref="F7">INDEX($C$2:$C$25, ROW()-ROW($F$2)+1 + COLUMN()-COLUMN($F$2))</f>
        <v>-0.20736995822691004</v>
      </c>
      <c r="G7" s="21" cm="1">
        <f t="array" ref="G7">INDEX($C$2:$C$25, ROW()-ROW($F$2)+1 + COLUMN()-COLUMN($F$2))</f>
        <v>-0.18826485650926789</v>
      </c>
      <c r="H7" s="21" cm="1">
        <f t="array" ref="H7">INDEX($C$2:$C$25, ROW()-ROW($F$2)+1 + COLUMN()-COLUMN($F$2))</f>
        <v>0.17154789250631067</v>
      </c>
      <c r="I7" s="21" cm="1">
        <f t="array" ref="I7">INDEX($C$2:$C$25, ROW()-ROW($F$2)+1 + COLUMN()-COLUMN($F$2))</f>
        <v>0.57593921219639055</v>
      </c>
      <c r="J7" s="21" cm="1">
        <f t="array" ref="J7">INDEX($C$2:$C$25, ROW()-ROW($F$2)+1 + COLUMN()-COLUMN($F$2))</f>
        <v>0.17791625974552772</v>
      </c>
      <c r="K7" s="21" cm="1">
        <f t="array" ref="K7">INDEX($C$2:$C$25, ROW()-ROW($F$2)+1 + COLUMN()-COLUMN($F$2))</f>
        <v>-0.630866379634623</v>
      </c>
      <c r="L7" s="21" cm="1">
        <f t="array" ref="L7">INDEX($C$2:$C$25, ROW()-ROW($F$2)+1 + COLUMN()-COLUMN($F$2))</f>
        <v>-0.4748413822738819</v>
      </c>
      <c r="M7" s="21" cm="1">
        <f t="array" ref="M7">INDEX($C$2:$C$25, ROW()-ROW($F$2)+1 + COLUMN()-COLUMN($F$2))</f>
        <v>-0.14050210221516254</v>
      </c>
      <c r="N7" s="21" cm="1">
        <f t="array" ref="N7">INDEX($C$2:$C$25, ROW()-ROW($F$2)+1 + COLUMN()-COLUMN($F$2))</f>
        <v>-0.18508067288965485</v>
      </c>
      <c r="O7" s="21" cm="1">
        <f t="array" ref="O7">INDEX($C$2:$C$25, ROW()-ROW($F$2)+1 + COLUMN()-COLUMN($F$2))</f>
        <v>0.18428462698474479</v>
      </c>
      <c r="P7" s="21" cm="1">
        <f t="array" ref="P7">INDEX($C$2:$C$25, ROW()-ROW($F$2)+1 + COLUMN()-COLUMN($F$2))</f>
        <v>0.59822849753363672</v>
      </c>
      <c r="Q7" s="21" cm="1">
        <f t="array" ref="Q7">INDEX($C$2:$C$25, ROW()-ROW($F$2)+1 + COLUMN()-COLUMN($F$2))</f>
        <v>1.2095917524981672</v>
      </c>
      <c r="R7" s="21" cm="1">
        <f t="array" ref="R7">INDEX($C$2:$C$25, ROW()-ROW($F$2)+1 + COLUMN()-COLUMN($F$2))</f>
        <v>1.1299871620079944</v>
      </c>
      <c r="T7" s="295">
        <v>0.18410233910320389</v>
      </c>
      <c r="U7" s="295">
        <v>-1.3773551760727459E-2</v>
      </c>
      <c r="V7" s="295">
        <v>-0.48603110958168466</v>
      </c>
      <c r="W7" s="295">
        <v>-2.4344892189917568E-2</v>
      </c>
      <c r="X7" s="295">
        <v>-3.7406884204748546E-2</v>
      </c>
      <c r="Y7" s="295">
        <v>0.34202664844710018</v>
      </c>
      <c r="Z7" s="295">
        <v>0.24204644828804325</v>
      </c>
      <c r="AA7" s="295">
        <v>-0.12990639776835824</v>
      </c>
      <c r="AB7" s="295">
        <v>-0.28448135283894471</v>
      </c>
      <c r="AC7" s="295">
        <v>0.65465916753209508</v>
      </c>
      <c r="AD7" s="295">
        <v>-7.0042236833137116E-3</v>
      </c>
      <c r="AE7" s="295">
        <v>-0.16030196914417633</v>
      </c>
      <c r="AH7" s="291" vm="26">
        <v>45845</v>
      </c>
      <c r="AI7" s="21">
        <f t="shared" si="2"/>
        <v>-1.2507906920768335</v>
      </c>
    </row>
    <row r="8" spans="1:35" x14ac:dyDescent="0.3">
      <c r="A8" vm="7">
        <v>210.01</v>
      </c>
      <c r="B8" s="293">
        <f t="shared" si="0"/>
        <v>211.08989661785648</v>
      </c>
      <c r="C8" s="21">
        <f t="shared" si="1"/>
        <v>-0.18826485650926789</v>
      </c>
      <c r="D8" s="292" cm="1">
        <f t="array" ref="D8">AVERAGE(IF(((ROW($F$17:$R$28)-ROW($F$17)+1)+(COLUMN($F$17:$R$28)-COLUMN($F$17)+1)) = ROW()-ROW($D$2)+2, $F$17:$R$28))</f>
        <v>0.15559405563548245</v>
      </c>
      <c r="F8" s="21" cm="1">
        <f t="array" ref="F8">INDEX($C$2:$C$25, ROW()-ROW($F$2)+1 + COLUMN()-COLUMN($F$2))</f>
        <v>-0.18826485650926789</v>
      </c>
      <c r="G8" s="21" cm="1">
        <f t="array" ref="G8">INDEX($C$2:$C$25, ROW()-ROW($F$2)+1 + COLUMN()-COLUMN($F$2))</f>
        <v>0.17154789250631067</v>
      </c>
      <c r="H8" s="21" cm="1">
        <f t="array" ref="H8">INDEX($C$2:$C$25, ROW()-ROW($F$2)+1 + COLUMN()-COLUMN($F$2))</f>
        <v>0.57593921219639055</v>
      </c>
      <c r="I8" s="21" cm="1">
        <f t="array" ref="I8">INDEX($C$2:$C$25, ROW()-ROW($F$2)+1 + COLUMN()-COLUMN($F$2))</f>
        <v>0.17791625974552772</v>
      </c>
      <c r="J8" s="21" cm="1">
        <f t="array" ref="J8">INDEX($C$2:$C$25, ROW()-ROW($F$2)+1 + COLUMN()-COLUMN($F$2))</f>
        <v>-0.630866379634623</v>
      </c>
      <c r="K8" s="21" cm="1">
        <f t="array" ref="K8">INDEX($C$2:$C$25, ROW()-ROW($F$2)+1 + COLUMN()-COLUMN($F$2))</f>
        <v>-0.4748413822738819</v>
      </c>
      <c r="L8" s="21" cm="1">
        <f t="array" ref="L8">INDEX($C$2:$C$25, ROW()-ROW($F$2)+1 + COLUMN()-COLUMN($F$2))</f>
        <v>-0.14050210221516254</v>
      </c>
      <c r="M8" s="21" cm="1">
        <f t="array" ref="M8">INDEX($C$2:$C$25, ROW()-ROW($F$2)+1 + COLUMN()-COLUMN($F$2))</f>
        <v>-0.18508067288965485</v>
      </c>
      <c r="N8" s="21" cm="1">
        <f t="array" ref="N8">INDEX($C$2:$C$25, ROW()-ROW($F$2)+1 + COLUMN()-COLUMN($F$2))</f>
        <v>0.18428462698474479</v>
      </c>
      <c r="O8" s="21" cm="1">
        <f t="array" ref="O8">INDEX($C$2:$C$25, ROW()-ROW($F$2)+1 + COLUMN()-COLUMN($F$2))</f>
        <v>0.59822849753363672</v>
      </c>
      <c r="P8" s="21" cm="1">
        <f t="array" ref="P8">INDEX($C$2:$C$25, ROW()-ROW($F$2)+1 + COLUMN()-COLUMN($F$2))</f>
        <v>1.2095917524981672</v>
      </c>
      <c r="Q8" s="21" cm="1">
        <f t="array" ref="Q8">INDEX($C$2:$C$25, ROW()-ROW($F$2)+1 + COLUMN()-COLUMN($F$2))</f>
        <v>1.1299871620079944</v>
      </c>
      <c r="R8" s="21" cm="1">
        <f t="array" ref="R8">INDEX($C$2:$C$25, ROW()-ROW($F$2)+1 + COLUMN()-COLUMN($F$2))</f>
        <v>1.0058040008433207</v>
      </c>
      <c r="T8" s="295">
        <v>0.30596308321051585</v>
      </c>
      <c r="U8" s="295">
        <v>-7.7010595380550106E-2</v>
      </c>
      <c r="V8" s="295">
        <v>-0.35466897098186223</v>
      </c>
      <c r="W8" s="295">
        <v>-0.36122352260502349</v>
      </c>
      <c r="X8" s="295">
        <v>4.1965288563970357E-4</v>
      </c>
      <c r="Y8" s="295">
        <v>-2.095571951135803E-2</v>
      </c>
      <c r="Z8" s="295">
        <v>0.43525046991920896</v>
      </c>
      <c r="AA8" s="295">
        <v>3.6242265363837345E-2</v>
      </c>
      <c r="AB8" s="295">
        <v>-0.15892308932592428</v>
      </c>
      <c r="AC8" s="295">
        <v>-0.47448521865330034</v>
      </c>
      <c r="AD8" s="295">
        <v>0.19194653646361456</v>
      </c>
      <c r="AE8" s="295">
        <v>0.40712579394668608</v>
      </c>
      <c r="AH8" s="291" vm="27">
        <v>45846</v>
      </c>
      <c r="AI8" s="21">
        <f t="shared" si="2"/>
        <v>-1.079896617856491</v>
      </c>
    </row>
    <row r="9" spans="1:35" x14ac:dyDescent="0.3">
      <c r="A9" vm="8">
        <v>211.14</v>
      </c>
      <c r="B9" s="293">
        <f t="shared" si="0"/>
        <v>211.06461144343268</v>
      </c>
      <c r="C9" s="21">
        <f t="shared" si="1"/>
        <v>0.17154789250631067</v>
      </c>
      <c r="D9" s="292" cm="1">
        <f t="array" ref="D9">AVERAGE(IF(((ROW($F$17:$R$28)-ROW($F$17)+1)+(COLUMN($F$17:$R$28)-COLUMN($F$17)+1)) = ROW()-ROW($D$2)+2, $F$17:$R$28))</f>
        <v>0.14754279181357222</v>
      </c>
      <c r="F9" s="21" cm="1">
        <f t="array" ref="F9">INDEX($C$2:$C$25, ROW()-ROW($F$2)+1 + COLUMN()-COLUMN($F$2))</f>
        <v>0.17154789250631067</v>
      </c>
      <c r="G9" s="21" cm="1">
        <f t="array" ref="G9">INDEX($C$2:$C$25, ROW()-ROW($F$2)+1 + COLUMN()-COLUMN($F$2))</f>
        <v>0.57593921219639055</v>
      </c>
      <c r="H9" s="21" cm="1">
        <f t="array" ref="H9">INDEX($C$2:$C$25, ROW()-ROW($F$2)+1 + COLUMN()-COLUMN($F$2))</f>
        <v>0.17791625974552772</v>
      </c>
      <c r="I9" s="21" cm="1">
        <f t="array" ref="I9">INDEX($C$2:$C$25, ROW()-ROW($F$2)+1 + COLUMN()-COLUMN($F$2))</f>
        <v>-0.630866379634623</v>
      </c>
      <c r="J9" s="21" cm="1">
        <f t="array" ref="J9">INDEX($C$2:$C$25, ROW()-ROW($F$2)+1 + COLUMN()-COLUMN($F$2))</f>
        <v>-0.4748413822738819</v>
      </c>
      <c r="K9" s="21" cm="1">
        <f t="array" ref="K9">INDEX($C$2:$C$25, ROW()-ROW($F$2)+1 + COLUMN()-COLUMN($F$2))</f>
        <v>-0.14050210221516254</v>
      </c>
      <c r="L9" s="21" cm="1">
        <f t="array" ref="L9">INDEX($C$2:$C$25, ROW()-ROW($F$2)+1 + COLUMN()-COLUMN($F$2))</f>
        <v>-0.18508067288965485</v>
      </c>
      <c r="M9" s="21" cm="1">
        <f t="array" ref="M9">INDEX($C$2:$C$25, ROW()-ROW($F$2)+1 + COLUMN()-COLUMN($F$2))</f>
        <v>0.18428462698474479</v>
      </c>
      <c r="N9" s="21" cm="1">
        <f t="array" ref="N9">INDEX($C$2:$C$25, ROW()-ROW($F$2)+1 + COLUMN()-COLUMN($F$2))</f>
        <v>0.59822849753363672</v>
      </c>
      <c r="O9" s="21" cm="1">
        <f t="array" ref="O9">INDEX($C$2:$C$25, ROW()-ROW($F$2)+1 + COLUMN()-COLUMN($F$2))</f>
        <v>1.2095917524981672</v>
      </c>
      <c r="P9" s="21" cm="1">
        <f t="array" ref="P9">INDEX($C$2:$C$25, ROW()-ROW($F$2)+1 + COLUMN()-COLUMN($F$2))</f>
        <v>1.1299871620079944</v>
      </c>
      <c r="Q9" s="21" cm="1">
        <f t="array" ref="Q9">INDEX($C$2:$C$25, ROW()-ROW($F$2)+1 + COLUMN()-COLUMN($F$2))</f>
        <v>1.0058040008433207</v>
      </c>
      <c r="R9" s="21" cm="1">
        <f t="array" ref="R9">INDEX($C$2:$C$25, ROW()-ROW($F$2)+1 + COLUMN()-COLUMN($F$2))</f>
        <v>1.0440142042786049</v>
      </c>
      <c r="T9" s="295">
        <v>0.41871045723060368</v>
      </c>
      <c r="U9" s="295">
        <v>-0.14044806148488018</v>
      </c>
      <c r="V9" s="295">
        <v>-0.14156907423361395</v>
      </c>
      <c r="W9" s="295">
        <v>-0.18225007496567744</v>
      </c>
      <c r="X9" s="295">
        <v>-0.23413193795924406</v>
      </c>
      <c r="Y9" s="295">
        <v>-0.40655451859329994</v>
      </c>
      <c r="Z9" s="295">
        <v>8.4859705153926476E-2</v>
      </c>
      <c r="AA9" s="295">
        <v>0.2549167774119368</v>
      </c>
      <c r="AB9" s="295">
        <v>0.34075403524425163</v>
      </c>
      <c r="AC9" s="295">
        <v>3.8750580282401886E-2</v>
      </c>
      <c r="AD9" s="295">
        <v>-0.45426867266622611</v>
      </c>
      <c r="AE9" s="295">
        <v>-0.36801627888856947</v>
      </c>
      <c r="AH9" s="291" vm="28">
        <v>45847</v>
      </c>
      <c r="AI9" s="21">
        <f t="shared" si="2"/>
        <v>7.5388556567304477E-2</v>
      </c>
    </row>
    <row r="10" spans="1:35" x14ac:dyDescent="0.3">
      <c r="A10" vm="9">
        <v>212.41</v>
      </c>
      <c r="B10" s="293">
        <f t="shared" si="0"/>
        <v>210.92121130864538</v>
      </c>
      <c r="C10" s="21">
        <f t="shared" si="1"/>
        <v>0.57593921219639055</v>
      </c>
      <c r="D10" s="292" cm="1">
        <f t="array" ref="D10">AVERAGE(IF(((ROW($F$17:$R$28)-ROW($F$17)+1)+(COLUMN($F$17:$R$28)-COLUMN($F$17)+1)) = ROW()-ROW($D$2)+2, $F$17:$R$28))</f>
        <v>0.10188155578965152</v>
      </c>
      <c r="F10" s="21" cm="1">
        <f t="array" ref="F10">INDEX($C$2:$C$25, ROW()-ROW($F$2)+1 + COLUMN()-COLUMN($F$2))</f>
        <v>0.57593921219639055</v>
      </c>
      <c r="G10" s="21" cm="1">
        <f t="array" ref="G10">INDEX($C$2:$C$25, ROW()-ROW($F$2)+1 + COLUMN()-COLUMN($F$2))</f>
        <v>0.17791625974552772</v>
      </c>
      <c r="H10" s="21" cm="1">
        <f t="array" ref="H10">INDEX($C$2:$C$25, ROW()-ROW($F$2)+1 + COLUMN()-COLUMN($F$2))</f>
        <v>-0.630866379634623</v>
      </c>
      <c r="I10" s="21" cm="1">
        <f t="array" ref="I10">INDEX($C$2:$C$25, ROW()-ROW($F$2)+1 + COLUMN()-COLUMN($F$2))</f>
        <v>-0.4748413822738819</v>
      </c>
      <c r="J10" s="21" cm="1">
        <f t="array" ref="J10">INDEX($C$2:$C$25, ROW()-ROW($F$2)+1 + COLUMN()-COLUMN($F$2))</f>
        <v>-0.14050210221516254</v>
      </c>
      <c r="K10" s="21" cm="1">
        <f t="array" ref="K10">INDEX($C$2:$C$25, ROW()-ROW($F$2)+1 + COLUMN()-COLUMN($F$2))</f>
        <v>-0.18508067288965485</v>
      </c>
      <c r="L10" s="21" cm="1">
        <f t="array" ref="L10">INDEX($C$2:$C$25, ROW()-ROW($F$2)+1 + COLUMN()-COLUMN($F$2))</f>
        <v>0.18428462698474479</v>
      </c>
      <c r="M10" s="21" cm="1">
        <f t="array" ref="M10">INDEX($C$2:$C$25, ROW()-ROW($F$2)+1 + COLUMN()-COLUMN($F$2))</f>
        <v>0.59822849753363672</v>
      </c>
      <c r="N10" s="21" cm="1">
        <f t="array" ref="N10">INDEX($C$2:$C$25, ROW()-ROW($F$2)+1 + COLUMN()-COLUMN($F$2))</f>
        <v>1.2095917524981672</v>
      </c>
      <c r="O10" s="21" cm="1">
        <f t="array" ref="O10">INDEX($C$2:$C$25, ROW()-ROW($F$2)+1 + COLUMN()-COLUMN($F$2))</f>
        <v>1.1299871620079944</v>
      </c>
      <c r="P10" s="21" cm="1">
        <f t="array" ref="P10">INDEX($C$2:$C$25, ROW()-ROW($F$2)+1 + COLUMN()-COLUMN($F$2))</f>
        <v>1.0058040008433207</v>
      </c>
      <c r="Q10" s="21" cm="1">
        <f t="array" ref="Q10">INDEX($C$2:$C$25, ROW()-ROW($F$2)+1 + COLUMN()-COLUMN($F$2))</f>
        <v>1.0440142042786049</v>
      </c>
      <c r="R10" s="21" cm="1">
        <f t="array" ref="R10">INDEX($C$2:$C$25, ROW()-ROW($F$2)+1 + COLUMN()-COLUMN($F$2))</f>
        <v>1.0981453258119274</v>
      </c>
      <c r="T10" s="295">
        <v>0.43787943535307222</v>
      </c>
      <c r="U10" s="295">
        <v>-0.25402857657139766</v>
      </c>
      <c r="V10" s="295">
        <v>-6.758653341690124E-2</v>
      </c>
      <c r="W10" s="295">
        <v>0.18549559618286254</v>
      </c>
      <c r="X10" s="295">
        <v>-5.8589853745708985E-2</v>
      </c>
      <c r="Y10" s="295">
        <v>-0.18258419833860579</v>
      </c>
      <c r="Z10" s="295">
        <v>-0.48439524396142852</v>
      </c>
      <c r="AA10" s="295">
        <v>0.27062541684931751</v>
      </c>
      <c r="AB10" s="295">
        <v>-8.4812939223046224E-2</v>
      </c>
      <c r="AC10" s="295">
        <v>0.14035219503327331</v>
      </c>
      <c r="AD10" s="295">
        <v>0.57254551059421865</v>
      </c>
      <c r="AE10" s="295">
        <v>7.3536131277880931E-2</v>
      </c>
      <c r="AH10" s="291" vm="29">
        <v>45848</v>
      </c>
      <c r="AI10" s="21">
        <f t="shared" si="2"/>
        <v>1.488788691354614</v>
      </c>
    </row>
    <row r="11" spans="1:35" x14ac:dyDescent="0.3">
      <c r="A11" vm="10">
        <v>211.16</v>
      </c>
      <c r="B11" s="293">
        <f t="shared" si="0"/>
        <v>210.52696193824897</v>
      </c>
      <c r="C11" s="21">
        <f t="shared" si="1"/>
        <v>0.17791625974552772</v>
      </c>
      <c r="D11" s="292" cm="1">
        <f t="array" ref="D11">AVERAGE(IF(((ROW($F$17:$R$28)-ROW($F$17)+1)+(COLUMN($F$17:$R$28)-COLUMN($F$17)+1)) = ROW()-ROW($D$2)+2, $F$17:$R$28))</f>
        <v>-2.3654682936004923E-2</v>
      </c>
      <c r="F11" s="21" cm="1">
        <f t="array" ref="F11">INDEX($C$2:$C$25, ROW()-ROW($F$2)+1 + COLUMN()-COLUMN($F$2))</f>
        <v>0.17791625974552772</v>
      </c>
      <c r="G11" s="21" cm="1">
        <f t="array" ref="G11">INDEX($C$2:$C$25, ROW()-ROW($F$2)+1 + COLUMN()-COLUMN($F$2))</f>
        <v>-0.630866379634623</v>
      </c>
      <c r="H11" s="21" cm="1">
        <f t="array" ref="H11">INDEX($C$2:$C$25, ROW()-ROW($F$2)+1 + COLUMN()-COLUMN($F$2))</f>
        <v>-0.4748413822738819</v>
      </c>
      <c r="I11" s="21" cm="1">
        <f t="array" ref="I11">INDEX($C$2:$C$25, ROW()-ROW($F$2)+1 + COLUMN()-COLUMN($F$2))</f>
        <v>-0.14050210221516254</v>
      </c>
      <c r="J11" s="21" cm="1">
        <f t="array" ref="J11">INDEX($C$2:$C$25, ROW()-ROW($F$2)+1 + COLUMN()-COLUMN($F$2))</f>
        <v>-0.18508067288965485</v>
      </c>
      <c r="K11" s="21" cm="1">
        <f t="array" ref="K11">INDEX($C$2:$C$25, ROW()-ROW($F$2)+1 + COLUMN()-COLUMN($F$2))</f>
        <v>0.18428462698474479</v>
      </c>
      <c r="L11" s="21" cm="1">
        <f t="array" ref="L11">INDEX($C$2:$C$25, ROW()-ROW($F$2)+1 + COLUMN()-COLUMN($F$2))</f>
        <v>0.59822849753363672</v>
      </c>
      <c r="M11" s="21" cm="1">
        <f t="array" ref="M11">INDEX($C$2:$C$25, ROW()-ROW($F$2)+1 + COLUMN()-COLUMN($F$2))</f>
        <v>1.2095917524981672</v>
      </c>
      <c r="N11" s="21" cm="1">
        <f t="array" ref="N11">INDEX($C$2:$C$25, ROW()-ROW($F$2)+1 + COLUMN()-COLUMN($F$2))</f>
        <v>1.1299871620079944</v>
      </c>
      <c r="O11" s="21" cm="1">
        <f t="array" ref="O11">INDEX($C$2:$C$25, ROW()-ROW($F$2)+1 + COLUMN()-COLUMN($F$2))</f>
        <v>1.0058040008433207</v>
      </c>
      <c r="P11" s="21" cm="1">
        <f t="array" ref="P11">INDEX($C$2:$C$25, ROW()-ROW($F$2)+1 + COLUMN()-COLUMN($F$2))</f>
        <v>1.0440142042786049</v>
      </c>
      <c r="Q11" s="21" cm="1">
        <f t="array" ref="Q11">INDEX($C$2:$C$25, ROW()-ROW($F$2)+1 + COLUMN()-COLUMN($F$2))</f>
        <v>1.0981453258119274</v>
      </c>
      <c r="R11" s="21" cm="1">
        <f t="array" ref="R11">INDEX($C$2:$C$25, ROW()-ROW($F$2)+1 + COLUMN()-COLUMN($F$2))</f>
        <v>0.21294227956120801</v>
      </c>
      <c r="T11" s="295">
        <v>0.28749466590714051</v>
      </c>
      <c r="U11" s="295">
        <v>-0.4183626242186062</v>
      </c>
      <c r="V11" s="295">
        <v>2.6532495613126154E-2</v>
      </c>
      <c r="W11" s="295">
        <v>7.4260183886591391E-2</v>
      </c>
      <c r="X11" s="295">
        <v>0.3050684206210581</v>
      </c>
      <c r="Y11" s="295">
        <v>0.22046813777049182</v>
      </c>
      <c r="Z11" s="295">
        <v>-0.34452564804300267</v>
      </c>
      <c r="AA11" s="295">
        <v>-0.22309817967171694</v>
      </c>
      <c r="AB11" s="295">
        <v>-0.15073753492869588</v>
      </c>
      <c r="AC11" s="295">
        <v>-7.9182087296079048E-2</v>
      </c>
      <c r="AD11" s="295">
        <v>-0.55269451088280863</v>
      </c>
      <c r="AE11" s="295">
        <v>0.30248056596756062</v>
      </c>
      <c r="AH11" s="291" vm="30">
        <v>45849</v>
      </c>
      <c r="AI11" s="21">
        <f t="shared" si="2"/>
        <v>0.63303806175102295</v>
      </c>
    </row>
    <row r="12" spans="1:35" x14ac:dyDescent="0.3">
      <c r="A12" vm="11">
        <v>208.62</v>
      </c>
      <c r="B12" s="293">
        <f t="shared" si="0"/>
        <v>210.08496631036326</v>
      </c>
      <c r="C12" s="21">
        <f t="shared" si="1"/>
        <v>-0.630866379634623</v>
      </c>
      <c r="D12" s="292" cm="1">
        <f t="array" ref="D12">AVERAGE(IF(((ROW($F$17:$R$28)-ROW($F$17)+1)+(COLUMN($F$17:$R$28)-COLUMN($F$17)+1)) = ROW()-ROW($D$2)+2, $F$17:$R$28))</f>
        <v>-0.16439420676116467</v>
      </c>
      <c r="F12" s="21" cm="1">
        <f t="array" ref="F12">INDEX($C$2:$C$25, ROW()-ROW($F$2)+1 + COLUMN()-COLUMN($F$2))</f>
        <v>-0.630866379634623</v>
      </c>
      <c r="G12" s="21" cm="1">
        <f t="array" ref="G12">INDEX($C$2:$C$25, ROW()-ROW($F$2)+1 + COLUMN()-COLUMN($F$2))</f>
        <v>-0.4748413822738819</v>
      </c>
      <c r="H12" s="21" cm="1">
        <f t="array" ref="H12">INDEX($C$2:$C$25, ROW()-ROW($F$2)+1 + COLUMN()-COLUMN($F$2))</f>
        <v>-0.14050210221516254</v>
      </c>
      <c r="I12" s="21" cm="1">
        <f t="array" ref="I12">INDEX($C$2:$C$25, ROW()-ROW($F$2)+1 + COLUMN()-COLUMN($F$2))</f>
        <v>-0.18508067288965485</v>
      </c>
      <c r="J12" s="21" cm="1">
        <f t="array" ref="J12">INDEX($C$2:$C$25, ROW()-ROW($F$2)+1 + COLUMN()-COLUMN($F$2))</f>
        <v>0.18428462698474479</v>
      </c>
      <c r="K12" s="21" cm="1">
        <f t="array" ref="K12">INDEX($C$2:$C$25, ROW()-ROW($F$2)+1 + COLUMN()-COLUMN($F$2))</f>
        <v>0.59822849753363672</v>
      </c>
      <c r="L12" s="21" cm="1">
        <f t="array" ref="L12">INDEX($C$2:$C$25, ROW()-ROW($F$2)+1 + COLUMN()-COLUMN($F$2))</f>
        <v>1.2095917524981672</v>
      </c>
      <c r="M12" s="21" cm="1">
        <f t="array" ref="M12">INDEX($C$2:$C$25, ROW()-ROW($F$2)+1 + COLUMN()-COLUMN($F$2))</f>
        <v>1.1299871620079944</v>
      </c>
      <c r="N12" s="21" cm="1">
        <f t="array" ref="N12">INDEX($C$2:$C$25, ROW()-ROW($F$2)+1 + COLUMN()-COLUMN($F$2))</f>
        <v>1.0058040008433207</v>
      </c>
      <c r="O12" s="21" cm="1">
        <f t="array" ref="O12">INDEX($C$2:$C$25, ROW()-ROW($F$2)+1 + COLUMN()-COLUMN($F$2))</f>
        <v>1.0440142042786049</v>
      </c>
      <c r="P12" s="21" cm="1">
        <f t="array" ref="P12">INDEX($C$2:$C$25, ROW()-ROW($F$2)+1 + COLUMN()-COLUMN($F$2))</f>
        <v>1.0981453258119274</v>
      </c>
      <c r="Q12" s="21" cm="1">
        <f t="array" ref="Q12">INDEX($C$2:$C$25, ROW()-ROW($F$2)+1 + COLUMN()-COLUMN($F$2))</f>
        <v>0.21294227956120801</v>
      </c>
      <c r="R12" s="21" cm="1">
        <f t="array" ref="R12">INDEX($C$2:$C$25, ROW()-ROW($F$2)+1 + COLUMN()-COLUMN($F$2))</f>
        <v>-0.49394648399152402</v>
      </c>
      <c r="T12" s="295">
        <v>8.3591836474356279E-2</v>
      </c>
      <c r="U12" s="295">
        <v>-0.49924125490438925</v>
      </c>
      <c r="V12" s="295">
        <v>0.22612432221251397</v>
      </c>
      <c r="W12" s="295">
        <v>-0.15090414286675718</v>
      </c>
      <c r="X12" s="295">
        <v>-5.0847149810428961E-2</v>
      </c>
      <c r="Y12" s="295">
        <v>0.14570592483227651</v>
      </c>
      <c r="Z12" s="295">
        <v>0.12903243576590606</v>
      </c>
      <c r="AA12" s="295">
        <v>-0.51632093848182681</v>
      </c>
      <c r="AB12" s="295">
        <v>0.10258651674407725</v>
      </c>
      <c r="AC12" s="295">
        <v>-0.17080921436138563</v>
      </c>
      <c r="AD12" s="295">
        <v>0.30343058336193213</v>
      </c>
      <c r="AE12" s="295">
        <v>-0.4806704428488226</v>
      </c>
      <c r="AH12" s="291" vm="31">
        <v>45852</v>
      </c>
      <c r="AI12" s="21">
        <f t="shared" si="2"/>
        <v>-1.464966310363252</v>
      </c>
    </row>
    <row r="13" spans="1:35" x14ac:dyDescent="0.3">
      <c r="A13" vm="12">
        <v>209.11</v>
      </c>
      <c r="B13" s="293">
        <f t="shared" si="0"/>
        <v>209.87178320883407</v>
      </c>
      <c r="C13" s="21">
        <f t="shared" si="1"/>
        <v>-0.4748413822738819</v>
      </c>
      <c r="D13" s="292" cm="1">
        <f t="array" ref="D13">AVERAGE(IF(((ROW($F$17:$R$28)-ROW($F$17)+1)+(COLUMN($F$17:$R$28)-COLUMN($F$17)+1)) = ROW()-ROW($D$2)+2, $F$17:$R$28))</f>
        <v>-0.23227562074778499</v>
      </c>
      <c r="F13" s="21" cm="1">
        <f t="array" ref="F13">INDEX($C$2:$C$25, ROW()-ROW($F$2)+1 + COLUMN()-COLUMN($F$2))</f>
        <v>-0.4748413822738819</v>
      </c>
      <c r="G13" s="21" cm="1">
        <f t="array" ref="G13">INDEX($C$2:$C$25, ROW()-ROW($F$2)+1 + COLUMN()-COLUMN($F$2))</f>
        <v>-0.14050210221516254</v>
      </c>
      <c r="H13" s="21" cm="1">
        <f t="array" ref="H13">INDEX($C$2:$C$25, ROW()-ROW($F$2)+1 + COLUMN()-COLUMN($F$2))</f>
        <v>-0.18508067288965485</v>
      </c>
      <c r="I13" s="21" cm="1">
        <f t="array" ref="I13">INDEX($C$2:$C$25, ROW()-ROW($F$2)+1 + COLUMN()-COLUMN($F$2))</f>
        <v>0.18428462698474479</v>
      </c>
      <c r="J13" s="21" cm="1">
        <f t="array" ref="J13">INDEX($C$2:$C$25, ROW()-ROW($F$2)+1 + COLUMN()-COLUMN($F$2))</f>
        <v>0.59822849753363672</v>
      </c>
      <c r="K13" s="21" cm="1">
        <f t="array" ref="K13">INDEX($C$2:$C$25, ROW()-ROW($F$2)+1 + COLUMN()-COLUMN($F$2))</f>
        <v>1.2095917524981672</v>
      </c>
      <c r="L13" s="21" cm="1">
        <f t="array" ref="L13">INDEX($C$2:$C$25, ROW()-ROW($F$2)+1 + COLUMN()-COLUMN($F$2))</f>
        <v>1.1299871620079944</v>
      </c>
      <c r="M13" s="21" cm="1">
        <f t="array" ref="M13">INDEX($C$2:$C$25, ROW()-ROW($F$2)+1 + COLUMN()-COLUMN($F$2))</f>
        <v>1.0058040008433207</v>
      </c>
      <c r="N13" s="21" cm="1">
        <f t="array" ref="N13">INDEX($C$2:$C$25, ROW()-ROW($F$2)+1 + COLUMN()-COLUMN($F$2))</f>
        <v>1.0440142042786049</v>
      </c>
      <c r="O13" s="21" cm="1">
        <f t="array" ref="O13">INDEX($C$2:$C$25, ROW()-ROW($F$2)+1 + COLUMN()-COLUMN($F$2))</f>
        <v>1.0981453258119274</v>
      </c>
      <c r="P13" s="21" cm="1">
        <f t="array" ref="P13">INDEX($C$2:$C$25, ROW()-ROW($F$2)+1 + COLUMN()-COLUMN($F$2))</f>
        <v>0.21294227956120801</v>
      </c>
      <c r="Q13" s="21" cm="1">
        <f t="array" ref="Q13">INDEX($C$2:$C$25, ROW()-ROW($F$2)+1 + COLUMN()-COLUMN($F$2))</f>
        <v>-0.49394648399152402</v>
      </c>
      <c r="R13" s="21" cm="1">
        <f t="array" ref="R13">INDEX($C$2:$C$25, ROW()-ROW($F$2)+1 + COLUMN()-COLUMN($F$2))</f>
        <v>-0.96520565969335148</v>
      </c>
      <c r="T13" s="295">
        <v>-7.3531586144305799E-2</v>
      </c>
      <c r="U13" s="295">
        <v>-0.43185684537391689</v>
      </c>
      <c r="V13" s="295">
        <v>0.45257476804866476</v>
      </c>
      <c r="W13" s="295">
        <v>2.5262660879198904E-2</v>
      </c>
      <c r="X13" s="295">
        <v>-0.28214534930254676</v>
      </c>
      <c r="Y13" s="295">
        <v>0.27024117572390627</v>
      </c>
      <c r="Z13" s="295">
        <v>0.35414003866144722</v>
      </c>
      <c r="AA13" s="295">
        <v>0.46761762886465941</v>
      </c>
      <c r="AB13" s="295">
        <v>-5.383348878175008E-3</v>
      </c>
      <c r="AC13" s="295">
        <v>0.21039283926789354</v>
      </c>
      <c r="AD13" s="295">
        <v>-3.8113846613338741E-2</v>
      </c>
      <c r="AE13" s="295">
        <v>0.24528789344749</v>
      </c>
      <c r="AH13" s="291" vm="32">
        <v>45853</v>
      </c>
      <c r="AI13" s="21">
        <f t="shared" si="2"/>
        <v>-0.76178320883406059</v>
      </c>
    </row>
    <row r="14" spans="1:35" x14ac:dyDescent="0.3">
      <c r="A14" vm="13">
        <v>210.16</v>
      </c>
      <c r="B14" s="293">
        <f t="shared" si="0"/>
        <v>209.98888423954747</v>
      </c>
      <c r="C14" s="21">
        <f t="shared" si="1"/>
        <v>-0.14050210221516254</v>
      </c>
      <c r="D14" s="292" cm="1">
        <f t="array" ref="D14">AVERAGE(IF(((ROW($F$17:$R$28)-ROW($F$17)+1)+(COLUMN($F$17:$R$28)-COLUMN($F$17)+1)) = ROW()-ROW($D$2)+2, $F$17:$R$28))</f>
        <v>-0.19498850236411205</v>
      </c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T14" s="295"/>
      <c r="U14" s="295"/>
      <c r="V14" s="295"/>
      <c r="W14" s="295"/>
      <c r="X14" s="295"/>
      <c r="Y14" s="295"/>
      <c r="Z14" s="295"/>
      <c r="AA14" s="295"/>
      <c r="AB14" s="295"/>
      <c r="AC14" s="295"/>
      <c r="AD14" s="295"/>
      <c r="AE14" s="295"/>
      <c r="AH14" s="291" vm="33">
        <v>45854</v>
      </c>
      <c r="AI14" s="21">
        <f t="shared" si="2"/>
        <v>0.17111576045252264</v>
      </c>
    </row>
    <row r="15" spans="1:35" x14ac:dyDescent="0.3">
      <c r="A15" vm="14">
        <v>210.02</v>
      </c>
      <c r="B15" s="293">
        <f t="shared" si="0"/>
        <v>210.46131074208884</v>
      </c>
      <c r="C15" s="21">
        <f t="shared" si="1"/>
        <v>-0.18508067288965485</v>
      </c>
      <c r="D15" s="292" cm="1">
        <f t="array" ref="D15">AVERAGE(IF(((ROW($F$17:$R$28)-ROW($F$17)+1)+(COLUMN($F$17:$R$28)-COLUMN($F$17)+1)) = ROW()-ROW($D$2)+2, $F$17:$R$28))</f>
        <v>-4.4559229278070697E-2</v>
      </c>
      <c r="AH15" s="291" vm="34">
        <v>45855</v>
      </c>
      <c r="AI15" s="21">
        <f t="shared" si="2"/>
        <v>-0.44131074208883092</v>
      </c>
    </row>
    <row r="16" spans="1:35" x14ac:dyDescent="0.3">
      <c r="A16" vm="15">
        <v>211.18</v>
      </c>
      <c r="B16" s="293">
        <f t="shared" si="0"/>
        <v>210.92540682577749</v>
      </c>
      <c r="C16" s="21">
        <f t="shared" si="1"/>
        <v>0.18428462698474479</v>
      </c>
      <c r="D16" s="292" cm="1">
        <f t="array" ref="D16">AVERAGE(IF(((ROW($F$17:$R$28)-ROW($F$17)+1)+(COLUMN($F$17:$R$28)-COLUMN($F$17)+1)) = ROW()-ROW($D$2)+2, $F$17:$R$28))</f>
        <v>0.10321748548243581</v>
      </c>
      <c r="F16" t="s">
        <v>485</v>
      </c>
      <c r="T16" t="s">
        <v>15</v>
      </c>
      <c r="AH16" s="291" vm="35">
        <v>45856</v>
      </c>
      <c r="AI16" s="21">
        <f t="shared" si="2"/>
        <v>0.2545931742225207</v>
      </c>
    </row>
    <row r="17" spans="1:35" x14ac:dyDescent="0.3">
      <c r="A17" vm="16">
        <v>212.48</v>
      </c>
      <c r="B17" s="293">
        <f t="shared" si="0"/>
        <v>211.29886697295095</v>
      </c>
      <c r="C17" s="21">
        <f t="shared" si="1"/>
        <v>0.59822849753363672</v>
      </c>
      <c r="D17" s="292" cm="1">
        <f t="array" ref="D17">AVERAGE(IF(((ROW($F$17:$R$28)-ROW($F$17)+1)+(COLUMN($F$17:$R$28)-COLUMN($F$17)+1)) = ROW()-ROW($D$2)+2, $F$17:$R$28))</f>
        <v>0.22213405380300993</v>
      </c>
      <c r="F17" s="158" cm="1">
        <f t="array" ref="F17">$T$33 * INDEX($T$2:$AE$13, ROW()-ROW($F$17)+1, 1) * INDEX($T$17:$AF$29, COLUMN()-COLUMN($F$17)+1, 1)</f>
        <v>-1.3025487017845694</v>
      </c>
      <c r="G17" s="158" cm="1">
        <f t="array" ref="G17">$T$33 * INDEX($T$2:$AE$13, ROW()-ROW($F$17)+1, 1) * INDEX($T$17:$AF$29, COLUMN()-COLUMN($F$17)+1, 1)</f>
        <v>-0.62096679378573227</v>
      </c>
      <c r="H17" s="158" cm="1">
        <f t="array" ref="H17">$T$33 * INDEX($T$2:$AE$13, ROW()-ROW($F$17)+1, 1) * INDEX($T$17:$AF$29, COLUMN()-COLUMN($F$17)+1, 1)</f>
        <v>2.4834014987496631E-2</v>
      </c>
      <c r="I17" s="158" cm="1">
        <f t="array" ref="I17">$T$33 * INDEX($T$2:$AE$13, ROW()-ROW($F$17)+1, 1) * INDEX($T$17:$AF$29, COLUMN()-COLUMN($F$17)+1, 1)</f>
        <v>0.461389616690214</v>
      </c>
      <c r="J17" s="158" cm="1">
        <f t="array" ref="J17">$T$33 * INDEX($T$2:$AE$13, ROW()-ROW($F$17)+1, 1) * INDEX($T$17:$AF$29, COLUMN()-COLUMN($F$17)+1, 1)</f>
        <v>0.36349280766320402</v>
      </c>
      <c r="K17" s="158" cm="1">
        <f t="array" ref="K17">$T$33 * INDEX($T$2:$AE$13, ROW()-ROW($F$17)+1, 1) * INDEX($T$17:$AF$29, COLUMN()-COLUMN($F$17)+1, 1)</f>
        <v>6.9449349728373133E-2</v>
      </c>
      <c r="L17" s="158" cm="1">
        <f t="array" ref="L17">$T$33 * INDEX($T$2:$AE$13, ROW()-ROW($F$17)+1, 1) * INDEX($T$17:$AF$29, COLUMN()-COLUMN($F$17)+1, 1)</f>
        <v>3.2171363646735646E-2</v>
      </c>
      <c r="M17" s="158" cm="1">
        <f t="array" ref="M17">$T$33 * INDEX($T$2:$AE$13, ROW()-ROW($F$17)+1, 1) * INDEX($T$17:$AF$29, COLUMN()-COLUMN($F$17)+1, 1)</f>
        <v>-8.2057167109599247E-2</v>
      </c>
      <c r="N17" s="158" cm="1">
        <f t="array" ref="N17">$T$33 * INDEX($T$2:$AE$13, ROW()-ROW($F$17)+1, 1) * INDEX($T$17:$AF$29, COLUMN()-COLUMN($F$17)+1, 1)</f>
        <v>-0.38258178621626981</v>
      </c>
      <c r="O17" s="158" cm="1">
        <f t="array" ref="O17">$T$33 * INDEX($T$2:$AE$13, ROW()-ROW($F$17)+1, 1) * INDEX($T$17:$AF$29, COLUMN()-COLUMN($F$17)+1, 1)</f>
        <v>-0.8002268199101058</v>
      </c>
      <c r="P17" s="158" cm="1">
        <f t="array" ref="P17">$T$33 * INDEX($T$2:$AE$13, ROW()-ROW($F$17)+1, 1) * INDEX($T$17:$AF$29, COLUMN()-COLUMN($F$17)+1, 1)</f>
        <v>-1.1088078639892589</v>
      </c>
      <c r="Q17" s="158" cm="1">
        <f t="array" ref="Q17">$T$33 * INDEX($T$2:$AE$13, ROW()-ROW($F$17)+1, 1) * INDEX($T$17:$AF$29, COLUMN()-COLUMN($F$17)+1, 1)</f>
        <v>-1.1026766980338665</v>
      </c>
      <c r="R17" s="158" cm="1">
        <f t="array" ref="R17">$T$33 * INDEX($T$2:$AE$13, ROW()-ROW($F$17)+1, 1) * INDEX($T$17:$AF$29, COLUMN()-COLUMN($F$17)+1, 1)</f>
        <v>-0.94808771277999693</v>
      </c>
      <c r="T17" s="170" cm="1">
        <f t="array" ref="T17:AF29">[2]!SVD_V(F2:R13)</f>
        <v>0.50811845631880992</v>
      </c>
      <c r="U17" s="170">
        <v>0.43604781533084047</v>
      </c>
      <c r="V17" s="170">
        <v>0.4325267089837066</v>
      </c>
      <c r="W17" s="170">
        <v>0.33277498827320851</v>
      </c>
      <c r="X17" s="170">
        <v>0.37195662936300566</v>
      </c>
      <c r="Y17" s="170">
        <v>0.25387177629309754</v>
      </c>
      <c r="Z17" s="170">
        <v>1.5690199037329045E-2</v>
      </c>
      <c r="AA17" s="170">
        <v>5.0655154101101774E-2</v>
      </c>
      <c r="AB17" s="170">
        <v>8.0430275438767795E-2</v>
      </c>
      <c r="AC17" s="170">
        <v>4.1891692917473522E-2</v>
      </c>
      <c r="AD17" s="170">
        <v>8.9312562757629887E-2</v>
      </c>
      <c r="AE17" s="170">
        <v>0.17900080729786394</v>
      </c>
      <c r="AF17" s="170">
        <v>1.6384011939252208E-3</v>
      </c>
      <c r="AH17" s="291" vm="36">
        <v>45859</v>
      </c>
      <c r="AI17" s="21">
        <f t="shared" si="2"/>
        <v>1.181133027049043</v>
      </c>
    </row>
    <row r="18" spans="1:35" x14ac:dyDescent="0.3">
      <c r="A18" vm="17">
        <v>214.4</v>
      </c>
      <c r="B18" s="293">
        <f t="shared" si="0"/>
        <v>211.60645264632674</v>
      </c>
      <c r="C18" s="21">
        <f t="shared" si="1"/>
        <v>1.2095917524981672</v>
      </c>
      <c r="D18" s="292" cm="1">
        <f t="array" ref="D18">AVERAGE(IF(((ROW($F$17:$R$28)-ROW($F$17)+1)+(COLUMN($F$17:$R$28)-COLUMN($F$17)+1)) = ROW()-ROW($D$2)+2, $F$17:$R$28))</f>
        <v>0.3200749800819026</v>
      </c>
      <c r="F18" s="158" cm="1">
        <f t="array" ref="F18">$T$33 * INDEX($T$2:$AE$13, ROW()-ROW($F$17)+1, 1) * INDEX($T$17:$AF$29, COLUMN()-COLUMN($F$17)+1, 1)</f>
        <v>-0.87488205320404488</v>
      </c>
      <c r="G18" s="158" cm="1">
        <f t="array" ref="G18">$T$33 * INDEX($T$2:$AE$13, ROW()-ROW($F$17)+1, 1) * INDEX($T$17:$AF$29, COLUMN()-COLUMN($F$17)+1, 1)</f>
        <v>-0.41708436910994434</v>
      </c>
      <c r="H18" s="158" cm="1">
        <f t="array" ref="H18">$T$33 * INDEX($T$2:$AE$13, ROW()-ROW($F$17)+1, 1) * INDEX($T$17:$AF$29, COLUMN()-COLUMN($F$17)+1, 1)</f>
        <v>1.6680246958746352E-2</v>
      </c>
      <c r="I18" s="158" cm="1">
        <f t="array" ref="I18">$T$33 * INDEX($T$2:$AE$13, ROW()-ROW($F$17)+1, 1) * INDEX($T$17:$AF$29, COLUMN()-COLUMN($F$17)+1, 1)</f>
        <v>0.30990126866190981</v>
      </c>
      <c r="J18" s="158" cm="1">
        <f t="array" ref="J18">$T$33 * INDEX($T$2:$AE$13, ROW()-ROW($F$17)+1, 1) * INDEX($T$17:$AF$29, COLUMN()-COLUMN($F$17)+1, 1)</f>
        <v>0.24414698157357931</v>
      </c>
      <c r="K18" s="158" cm="1">
        <f t="array" ref="K18">$T$33 * INDEX($T$2:$AE$13, ROW()-ROW($F$17)+1, 1) * INDEX($T$17:$AF$29, COLUMN()-COLUMN($F$17)+1, 1)</f>
        <v>4.6647000300871704E-2</v>
      </c>
      <c r="L18" s="158" cm="1">
        <f t="array" ref="L18">$T$33 * INDEX($T$2:$AE$13, ROW()-ROW($F$17)+1, 1) * INDEX($T$17:$AF$29, COLUMN()-COLUMN($F$17)+1, 1)</f>
        <v>2.1608519238526858E-2</v>
      </c>
      <c r="M18" s="158" cm="1">
        <f t="array" ref="M18">$T$33 * INDEX($T$2:$AE$13, ROW()-ROW($F$17)+1, 1) * INDEX($T$17:$AF$29, COLUMN()-COLUMN($F$17)+1, 1)</f>
        <v>-5.5115284935293822E-2</v>
      </c>
      <c r="N18" s="158" cm="1">
        <f t="array" ref="N18">$T$33 * INDEX($T$2:$AE$13, ROW()-ROW($F$17)+1, 1) * INDEX($T$17:$AF$29, COLUMN()-COLUMN($F$17)+1, 1)</f>
        <v>-0.25696846358587822</v>
      </c>
      <c r="O18" s="158" cm="1">
        <f t="array" ref="O18">$T$33 * INDEX($T$2:$AE$13, ROW()-ROW($F$17)+1, 1) * INDEX($T$17:$AF$29, COLUMN()-COLUMN($F$17)+1, 1)</f>
        <v>-0.53748783617281448</v>
      </c>
      <c r="P18" s="158" cm="1">
        <f t="array" ref="P18">$T$33 * INDEX($T$2:$AE$13, ROW()-ROW($F$17)+1, 1) * INDEX($T$17:$AF$29, COLUMN()-COLUMN($F$17)+1, 1)</f>
        <v>-0.74475226863045663</v>
      </c>
      <c r="Q18" s="158" cm="1">
        <f t="array" ref="Q18">$T$33 * INDEX($T$2:$AE$13, ROW()-ROW($F$17)+1, 1) * INDEX($T$17:$AF$29, COLUMN()-COLUMN($F$17)+1, 1)</f>
        <v>-0.74063415231569663</v>
      </c>
      <c r="R18" s="158" cm="1">
        <f t="array" ref="R18">$T$33 * INDEX($T$2:$AE$13, ROW()-ROW($F$17)+1, 1) * INDEX($T$17:$AF$29, COLUMN()-COLUMN($F$17)+1, 1)</f>
        <v>-0.63680146749067734</v>
      </c>
      <c r="T18" s="170">
        <v>0.24223638490550059</v>
      </c>
      <c r="U18" s="170">
        <v>0.30960547977482888</v>
      </c>
      <c r="V18" s="170">
        <v>0.26718053257618091</v>
      </c>
      <c r="W18" s="170">
        <v>-0.32027275433939706</v>
      </c>
      <c r="X18" s="170">
        <v>-0.41237660504137769</v>
      </c>
      <c r="Y18" s="170">
        <v>-0.21474734722912639</v>
      </c>
      <c r="Z18" s="170">
        <v>-3.4977707772385735E-2</v>
      </c>
      <c r="AA18" s="170">
        <v>0.28307065869805198</v>
      </c>
      <c r="AB18" s="170">
        <v>-0.32277777554542281</v>
      </c>
      <c r="AC18" s="170">
        <v>0.31204706933015769</v>
      </c>
      <c r="AD18" s="170">
        <v>0.11976465484826782</v>
      </c>
      <c r="AE18" s="170">
        <v>-0.39491005505221866</v>
      </c>
      <c r="AF18" s="170">
        <v>-4.6110640653231935E-2</v>
      </c>
      <c r="AH18" s="291" vm="37">
        <v>45860</v>
      </c>
      <c r="AI18" s="21">
        <f t="shared" si="2"/>
        <v>2.7935473536732616</v>
      </c>
    </row>
    <row r="19" spans="1:35" x14ac:dyDescent="0.3">
      <c r="A19" vm="18">
        <v>214.15</v>
      </c>
      <c r="B19" s="293">
        <f t="shared" si="0"/>
        <v>211.92610063736782</v>
      </c>
      <c r="C19" s="21">
        <f t="shared" si="1"/>
        <v>1.1299871620079944</v>
      </c>
      <c r="D19" s="292" cm="1">
        <f t="array" ref="D19">AVERAGE(IF(((ROW($F$17:$R$28)-ROW($F$17)+1)+(COLUMN($F$17:$R$28)-COLUMN($F$17)+1)) = ROW()-ROW($D$2)+2, $F$17:$R$28))</f>
        <v>0.42185676979323672</v>
      </c>
      <c r="F19" s="158" cm="1">
        <f t="array" ref="F19">$T$33 * INDEX($T$2:$AE$13, ROW()-ROW($F$17)+1, 1) * INDEX($T$17:$AF$29, COLUMN()-COLUMN($F$17)+1, 1)</f>
        <v>-0.29167538143612215</v>
      </c>
      <c r="G19" s="158" cm="1">
        <f t="array" ref="G19">$T$33 * INDEX($T$2:$AE$13, ROW()-ROW($F$17)+1, 1) * INDEX($T$17:$AF$29, COLUMN()-COLUMN($F$17)+1, 1)</f>
        <v>-0.13905102065548341</v>
      </c>
      <c r="H19" s="158" cm="1">
        <f t="array" ref="H19">$T$33 * INDEX($T$2:$AE$13, ROW()-ROW($F$17)+1, 1) * INDEX($T$17:$AF$29, COLUMN()-COLUMN($F$17)+1, 1)</f>
        <v>5.5609980526213467E-3</v>
      </c>
      <c r="I19" s="158" cm="1">
        <f t="array" ref="I19">$T$33 * INDEX($T$2:$AE$13, ROW()-ROW($F$17)+1, 1) * INDEX($T$17:$AF$29, COLUMN()-COLUMN($F$17)+1, 1)</f>
        <v>0.10331743623436669</v>
      </c>
      <c r="J19" s="158" cm="1">
        <f t="array" ref="J19">$T$33 * INDEX($T$2:$AE$13, ROW()-ROW($F$17)+1, 1) * INDEX($T$17:$AF$29, COLUMN()-COLUMN($F$17)+1, 1)</f>
        <v>8.1395730677245065E-2</v>
      </c>
      <c r="K19" s="158" cm="1">
        <f t="array" ref="K19">$T$33 * INDEX($T$2:$AE$13, ROW()-ROW($F$17)+1, 1) * INDEX($T$17:$AF$29, COLUMN()-COLUMN($F$17)+1, 1)</f>
        <v>1.5551560985597726E-2</v>
      </c>
      <c r="L19" s="158" cm="1">
        <f t="array" ref="L19">$T$33 * INDEX($T$2:$AE$13, ROW()-ROW($F$17)+1, 1) * INDEX($T$17:$AF$29, COLUMN()-COLUMN($F$17)+1, 1)</f>
        <v>7.2040260376642559E-3</v>
      </c>
      <c r="M19" s="158" cm="1">
        <f t="array" ref="M19">$T$33 * INDEX($T$2:$AE$13, ROW()-ROW($F$17)+1, 1) * INDEX($T$17:$AF$29, COLUMN()-COLUMN($F$17)+1, 1)</f>
        <v>-1.8374787432875937E-2</v>
      </c>
      <c r="N19" s="158" cm="1">
        <f t="array" ref="N19">$T$33 * INDEX($T$2:$AE$13, ROW()-ROW($F$17)+1, 1) * INDEX($T$17:$AF$29, COLUMN()-COLUMN($F$17)+1, 1)</f>
        <v>-8.5670261904417774E-2</v>
      </c>
      <c r="O19" s="158" cm="1">
        <f t="array" ref="O19">$T$33 * INDEX($T$2:$AE$13, ROW()-ROW($F$17)+1, 1) * INDEX($T$17:$AF$29, COLUMN()-COLUMN($F$17)+1, 1)</f>
        <v>-0.17919211973641702</v>
      </c>
      <c r="P19" s="158" cm="1">
        <f t="array" ref="P19">$T$33 * INDEX($T$2:$AE$13, ROW()-ROW($F$17)+1, 1) * INDEX($T$17:$AF$29, COLUMN()-COLUMN($F$17)+1, 1)</f>
        <v>-0.2482916425507509</v>
      </c>
      <c r="Q19" s="158" cm="1">
        <f t="array" ref="Q19">$T$33 * INDEX($T$2:$AE$13, ROW()-ROW($F$17)+1, 1) * INDEX($T$17:$AF$29, COLUMN()-COLUMN($F$17)+1, 1)</f>
        <v>-0.2469187110310026</v>
      </c>
      <c r="R19" s="158" cm="1">
        <f t="array" ref="R19">$T$33 * INDEX($T$2:$AE$13, ROW()-ROW($F$17)+1, 1) * INDEX($T$17:$AF$29, COLUMN()-COLUMN($F$17)+1, 1)</f>
        <v>-0.21230211575286079</v>
      </c>
      <c r="T19" s="170">
        <v>-9.6876388133178542E-3</v>
      </c>
      <c r="U19" s="170">
        <v>0.13894903247837306</v>
      </c>
      <c r="V19" s="170">
        <v>-3.8790040364788538E-2</v>
      </c>
      <c r="W19" s="170">
        <v>-0.64498386137118324</v>
      </c>
      <c r="X19" s="170">
        <v>8.134869740474987E-2</v>
      </c>
      <c r="Y19" s="170">
        <v>0.22486679329601011</v>
      </c>
      <c r="Z19" s="170">
        <v>0.25749195812343301</v>
      </c>
      <c r="AA19" s="170">
        <v>0.21441061181238366</v>
      </c>
      <c r="AB19" s="170">
        <v>0.4920488163797424</v>
      </c>
      <c r="AC19" s="170">
        <v>9.9424359739932328E-2</v>
      </c>
      <c r="AD19" s="170">
        <v>3.6926817156488047E-3</v>
      </c>
      <c r="AE19" s="170">
        <v>0.16129590768258265</v>
      </c>
      <c r="AF19" s="170">
        <v>0.34000958276240706</v>
      </c>
      <c r="AH19" s="291" vm="38">
        <v>45861</v>
      </c>
      <c r="AI19" s="21">
        <f t="shared" si="2"/>
        <v>2.2238993626321815</v>
      </c>
    </row>
    <row r="20" spans="1:35" x14ac:dyDescent="0.3">
      <c r="A20" vm="19">
        <v>213.76</v>
      </c>
      <c r="B20" s="293">
        <f t="shared" si="0"/>
        <v>212.19769279751711</v>
      </c>
      <c r="C20" s="21">
        <f t="shared" si="1"/>
        <v>1.0058040008433207</v>
      </c>
      <c r="D20" s="292" cm="1">
        <f t="array" ref="D20">AVERAGE(IF(((ROW($F$17:$R$28)-ROW($F$17)+1)+(COLUMN($F$17:$R$28)-COLUMN($F$17)+1)) = ROW()-ROW($D$2)+2, $F$17:$R$28))</f>
        <v>0.50833670054933167</v>
      </c>
      <c r="F20" s="158" cm="1">
        <f t="array" ref="F20">$T$33 * INDEX($T$2:$AE$13, ROW()-ROW($F$17)+1, 1) * INDEX($T$17:$AF$29, COLUMN()-COLUMN($F$17)+1, 1)</f>
        <v>0.30701648539868176</v>
      </c>
      <c r="G20" s="158" cm="1">
        <f t="array" ref="G20">$T$33 * INDEX($T$2:$AE$13, ROW()-ROW($F$17)+1, 1) * INDEX($T$17:$AF$29, COLUMN()-COLUMN($F$17)+1, 1)</f>
        <v>0.14636461755033472</v>
      </c>
      <c r="H20" s="158" cm="1">
        <f t="array" ref="H20">$T$33 * INDEX($T$2:$AE$13, ROW()-ROW($F$17)+1, 1) * INDEX($T$17:$AF$29, COLUMN()-COLUMN($F$17)+1, 1)</f>
        <v>-5.8534870821747003E-3</v>
      </c>
      <c r="I20" s="158" cm="1">
        <f t="array" ref="I20">$T$33 * INDEX($T$2:$AE$13, ROW()-ROW($F$17)+1, 1) * INDEX($T$17:$AF$29, COLUMN()-COLUMN($F$17)+1, 1)</f>
        <v>-0.10875157168526577</v>
      </c>
      <c r="J20" s="158" cm="1">
        <f t="array" ref="J20">$T$33 * INDEX($T$2:$AE$13, ROW()-ROW($F$17)+1, 1) * INDEX($T$17:$AF$29, COLUMN()-COLUMN($F$17)+1, 1)</f>
        <v>-8.5676861159632356E-2</v>
      </c>
      <c r="K20" s="158" cm="1">
        <f t="array" ref="K20">$T$33 * INDEX($T$2:$AE$13, ROW()-ROW($F$17)+1, 1) * INDEX($T$17:$AF$29, COLUMN()-COLUMN($F$17)+1, 1)</f>
        <v>-1.6369518650332589E-2</v>
      </c>
      <c r="L20" s="158" cm="1">
        <f t="array" ref="L20">$T$33 * INDEX($T$2:$AE$13, ROW()-ROW($F$17)+1, 1) * INDEX($T$17:$AF$29, COLUMN()-COLUMN($F$17)+1, 1)</f>
        <v>-7.5829325872970631E-3</v>
      </c>
      <c r="M20" s="158" cm="1">
        <f t="array" ref="M20">$T$33 * INDEX($T$2:$AE$13, ROW()-ROW($F$17)+1, 1) * INDEX($T$17:$AF$29, COLUMN()-COLUMN($F$17)+1, 1)</f>
        <v>1.934123692514966E-2</v>
      </c>
      <c r="N20" s="158" cm="1">
        <f t="array" ref="N20">$T$33 * INDEX($T$2:$AE$13, ROW()-ROW($F$17)+1, 1) * INDEX($T$17:$AF$29, COLUMN()-COLUMN($F$17)+1, 1)</f>
        <v>9.0176217765019662E-2</v>
      </c>
      <c r="O20" s="158" cm="1">
        <f t="array" ref="O20">$T$33 * INDEX($T$2:$AE$13, ROW()-ROW($F$17)+1, 1) * INDEX($T$17:$AF$29, COLUMN()-COLUMN($F$17)+1, 1)</f>
        <v>0.18861699791644213</v>
      </c>
      <c r="P20" s="158" cm="1">
        <f t="array" ref="P20">$T$33 * INDEX($T$2:$AE$13, ROW()-ROW($F$17)+1, 1) * INDEX($T$17:$AF$29, COLUMN()-COLUMN($F$17)+1, 1)</f>
        <v>0.26135091372629904</v>
      </c>
      <c r="Q20" s="158" cm="1">
        <f t="array" ref="Q20">$T$33 * INDEX($T$2:$AE$13, ROW()-ROW($F$17)+1, 1) * INDEX($T$17:$AF$29, COLUMN()-COLUMN($F$17)+1, 1)</f>
        <v>0.25990577081498856</v>
      </c>
      <c r="R20" s="158" cm="1">
        <f t="array" ref="R20">$T$33 * INDEX($T$2:$AE$13, ROW()-ROW($F$17)+1, 1) * INDEX($T$17:$AF$29, COLUMN()-COLUMN($F$17)+1, 1)</f>
        <v>0.22346846381144483</v>
      </c>
      <c r="T20" s="170">
        <v>-0.17998603773736935</v>
      </c>
      <c r="U20" s="170">
        <v>-4.0228423712034694E-2</v>
      </c>
      <c r="V20" s="170">
        <v>-0.22106460866621991</v>
      </c>
      <c r="W20" s="170">
        <v>1.0131682315644548E-2</v>
      </c>
      <c r="X20" s="170">
        <v>0.16310215404971842</v>
      </c>
      <c r="Y20" s="170">
        <v>0.52709158478687979</v>
      </c>
      <c r="Z20" s="170">
        <v>0.35892281991744784</v>
      </c>
      <c r="AA20" s="170">
        <v>0.41577409261869158</v>
      </c>
      <c r="AB20" s="170">
        <v>-0.44336472245667646</v>
      </c>
      <c r="AC20" s="170">
        <v>4.4295977937288497E-2</v>
      </c>
      <c r="AD20" s="170">
        <v>0.17417813846643268</v>
      </c>
      <c r="AE20" s="170">
        <v>-6.791274914932712E-3</v>
      </c>
      <c r="AF20" s="170">
        <v>-0.28631170719977689</v>
      </c>
      <c r="AH20" s="291" vm="39">
        <v>45862</v>
      </c>
      <c r="AI20" s="21">
        <f t="shared" si="2"/>
        <v>1.5623072024828843</v>
      </c>
    </row>
    <row r="21" spans="1:35" x14ac:dyDescent="0.3">
      <c r="A21" vm="20">
        <v>213.88</v>
      </c>
      <c r="B21" s="293">
        <f t="shared" si="0"/>
        <v>212.18861285780702</v>
      </c>
      <c r="C21" s="21">
        <f t="shared" si="1"/>
        <v>1.0440142042786049</v>
      </c>
      <c r="D21" s="292" cm="1">
        <f t="array" ref="D21">AVERAGE(IF(((ROW($F$17:$R$28)-ROW($F$17)+1)+(COLUMN($F$17:$R$28)-COLUMN($F$17)+1)) = ROW()-ROW($D$2)+2, $F$17:$R$28))</f>
        <v>0.50544548102013864</v>
      </c>
      <c r="F21" s="158" cm="1">
        <f t="array" ref="F21">$T$33 * INDEX($T$2:$AE$13, ROW()-ROW($F$17)+1, 1) * INDEX($T$17:$AF$29, COLUMN()-COLUMN($F$17)+1, 1)</f>
        <v>0.51304296458487086</v>
      </c>
      <c r="G21" s="158" cm="1">
        <f t="array" ref="G21">$T$33 * INDEX($T$2:$AE$13, ROW()-ROW($F$17)+1, 1) * INDEX($T$17:$AF$29, COLUMN()-COLUMN($F$17)+1, 1)</f>
        <v>0.24458405613250167</v>
      </c>
      <c r="H21" s="158" cm="1">
        <f t="array" ref="H21">$T$33 * INDEX($T$2:$AE$13, ROW()-ROW($F$17)+1, 1) * INDEX($T$17:$AF$29, COLUMN()-COLUMN($F$17)+1, 1)</f>
        <v>-9.7815280567049596E-3</v>
      </c>
      <c r="I21" s="158" cm="1">
        <f t="array" ref="I21">$T$33 * INDEX($T$2:$AE$13, ROW()-ROW($F$17)+1, 1) * INDEX($T$17:$AF$29, COLUMN()-COLUMN($F$17)+1, 1)</f>
        <v>-0.18173040013867744</v>
      </c>
      <c r="J21" s="158" cm="1">
        <f t="array" ref="J21">$T$33 * INDEX($T$2:$AE$13, ROW()-ROW($F$17)+1, 1) * INDEX($T$17:$AF$29, COLUMN()-COLUMN($F$17)+1, 1)</f>
        <v>-0.14317117463117471</v>
      </c>
      <c r="K21" s="158" cm="1">
        <f t="array" ref="K21">$T$33 * INDEX($T$2:$AE$13, ROW()-ROW($F$17)+1, 1) * INDEX($T$17:$AF$29, COLUMN()-COLUMN($F$17)+1, 1)</f>
        <v>-2.7354447648921025E-2</v>
      </c>
      <c r="L21" s="158" cm="1">
        <f t="array" ref="L21">$T$33 * INDEX($T$2:$AE$13, ROW()-ROW($F$17)+1, 1) * INDEX($T$17:$AF$29, COLUMN()-COLUMN($F$17)+1, 1)</f>
        <v>-1.2671535242748286E-2</v>
      </c>
      <c r="M21" s="158" cm="1">
        <f t="array" ref="M21">$T$33 * INDEX($T$2:$AE$13, ROW()-ROW($F$17)+1, 1) * INDEX($T$17:$AF$29, COLUMN()-COLUMN($F$17)+1, 1)</f>
        <v>3.2320367155306375E-2</v>
      </c>
      <c r="N21" s="158" cm="1">
        <f t="array" ref="N21">$T$33 * INDEX($T$2:$AE$13, ROW()-ROW($F$17)+1, 1) * INDEX($T$17:$AF$29, COLUMN()-COLUMN($F$17)+1, 1)</f>
        <v>0.1506898694288005</v>
      </c>
      <c r="O21" s="158" cm="1">
        <f t="array" ref="O21">$T$33 * INDEX($T$2:$AE$13, ROW()-ROW($F$17)+1, 1) * INDEX($T$17:$AF$29, COLUMN()-COLUMN($F$17)+1, 1)</f>
        <v>0.31519031838466022</v>
      </c>
      <c r="P21" s="158" cm="1">
        <f t="array" ref="P21">$T$33 * INDEX($T$2:$AE$13, ROW()-ROW($F$17)+1, 1) * INDEX($T$17:$AF$29, COLUMN()-COLUMN($F$17)+1, 1)</f>
        <v>0.43673305490741904</v>
      </c>
      <c r="Q21" s="158" cm="1">
        <f t="array" ref="Q21">$T$33 * INDEX($T$2:$AE$13, ROW()-ROW($F$17)+1, 1) * INDEX($T$17:$AF$29, COLUMN()-COLUMN($F$17)+1, 1)</f>
        <v>0.43431813441054484</v>
      </c>
      <c r="R21" s="158" cm="1">
        <f t="array" ref="R21">$T$33 * INDEX($T$2:$AE$13, ROW()-ROW($F$17)+1, 1) * INDEX($T$17:$AF$29, COLUMN()-COLUMN($F$17)+1, 1)</f>
        <v>0.3734292085852367</v>
      </c>
      <c r="T21" s="170">
        <v>-0.14179692786900855</v>
      </c>
      <c r="U21" s="170">
        <v>-7.7759215928740341E-2</v>
      </c>
      <c r="V21" s="170">
        <v>9.810992774778822E-3</v>
      </c>
      <c r="W21" s="170">
        <v>0.41703988391219149</v>
      </c>
      <c r="X21" s="170">
        <v>-0.39048278393388675</v>
      </c>
      <c r="Y21" s="170">
        <v>0.31878337070682095</v>
      </c>
      <c r="Z21" s="170">
        <v>0.18360310047302866</v>
      </c>
      <c r="AA21" s="170">
        <v>-0.20239336691410256</v>
      </c>
      <c r="AB21" s="170">
        <v>0.23272941958106519</v>
      </c>
      <c r="AC21" s="170">
        <v>0.51583745363281996</v>
      </c>
      <c r="AD21" s="170">
        <v>0.23244704346661127</v>
      </c>
      <c r="AE21" s="170">
        <v>-0.15037886303270781</v>
      </c>
      <c r="AF21" s="170">
        <v>0.27232169946212414</v>
      </c>
      <c r="AH21" s="291" vm="40">
        <v>45863</v>
      </c>
      <c r="AI21" s="21">
        <f t="shared" si="2"/>
        <v>1.6913871421929798</v>
      </c>
    </row>
    <row r="22" spans="1:35" x14ac:dyDescent="0.3">
      <c r="A22" s="294">
        <v>214.05</v>
      </c>
      <c r="B22" s="293">
        <f t="shared" si="0"/>
        <v>211.82961166118781</v>
      </c>
      <c r="C22" s="21">
        <f t="shared" si="1"/>
        <v>1.0981453258119274</v>
      </c>
      <c r="D22" s="292" cm="1">
        <f t="array" ref="D22">AVERAGE(IF(((ROW($F$17:$R$28)-ROW($F$17)+1)+(COLUMN($F$17:$R$28)-COLUMN($F$17)+1)) = ROW()-ROW($D$2)+2, $F$17:$R$28))</f>
        <v>0.39113290805072887</v>
      </c>
      <c r="F22" s="158" cm="1">
        <f t="array" ref="F22">$T$33 * INDEX($T$2:$AE$13, ROW()-ROW($F$17)+1, 1) * INDEX($T$17:$AF$29, COLUMN()-COLUMN($F$17)+1, 1)</f>
        <v>0.4897842540125748</v>
      </c>
      <c r="G22" s="158" cm="1">
        <f t="array" ref="G22">$T$33 * INDEX($T$2:$AE$13, ROW()-ROW($F$17)+1, 1) * INDEX($T$17:$AF$29, COLUMN()-COLUMN($F$17)+1, 1)</f>
        <v>0.23349588191538301</v>
      </c>
      <c r="H22" s="158" cm="1">
        <f t="array" ref="H22">$T$33 * INDEX($T$2:$AE$13, ROW()-ROW($F$17)+1, 1) * INDEX($T$17:$AF$29, COLUMN()-COLUMN($F$17)+1, 1)</f>
        <v>-9.3380842406304496E-3</v>
      </c>
      <c r="I22" s="158" cm="1">
        <f t="array" ref="I22">$T$33 * INDEX($T$2:$AE$13, ROW()-ROW($F$17)+1, 1) * INDEX($T$17:$AF$29, COLUMN()-COLUMN($F$17)+1, 1)</f>
        <v>-0.17349168511715252</v>
      </c>
      <c r="J22" s="158" cm="1">
        <f t="array" ref="J22">$T$33 * INDEX($T$2:$AE$13, ROW()-ROW($F$17)+1, 1) * INDEX($T$17:$AF$29, COLUMN()-COLUMN($F$17)+1, 1)</f>
        <v>-0.13668053516643394</v>
      </c>
      <c r="K22" s="158" cm="1">
        <f t="array" ref="K22">$T$33 * INDEX($T$2:$AE$13, ROW()-ROW($F$17)+1, 1) * INDEX($T$17:$AF$29, COLUMN()-COLUMN($F$17)+1, 1)</f>
        <v>-2.6114338682128965E-2</v>
      </c>
      <c r="L22" s="158" cm="1">
        <f t="array" ref="L22">$T$33 * INDEX($T$2:$AE$13, ROW()-ROW($F$17)+1, 1) * INDEX($T$17:$AF$29, COLUMN()-COLUMN($F$17)+1, 1)</f>
        <v>-1.2097073470416591E-2</v>
      </c>
      <c r="M22" s="158" cm="1">
        <f t="array" ref="M22">$T$33 * INDEX($T$2:$AE$13, ROW()-ROW($F$17)+1, 1) * INDEX($T$17:$AF$29, COLUMN()-COLUMN($F$17)+1, 1)</f>
        <v>3.0855129120390765E-2</v>
      </c>
      <c r="N22" s="158" cm="1">
        <f t="array" ref="N22">$T$33 * INDEX($T$2:$AE$13, ROW()-ROW($F$17)+1, 1) * INDEX($T$17:$AF$29, COLUMN()-COLUMN($F$17)+1, 1)</f>
        <v>0.1438583712870074</v>
      </c>
      <c r="O22" s="158" cm="1">
        <f t="array" ref="O22">$T$33 * INDEX($T$2:$AE$13, ROW()-ROW($F$17)+1, 1) * INDEX($T$17:$AF$29, COLUMN()-COLUMN($F$17)+1, 1)</f>
        <v>0.30090122196087338</v>
      </c>
      <c r="P22" s="158" cm="1">
        <f t="array" ref="P22">$T$33 * INDEX($T$2:$AE$13, ROW()-ROW($F$17)+1, 1) * INDEX($T$17:$AF$29, COLUMN()-COLUMN($F$17)+1, 1)</f>
        <v>0.4169338403725007</v>
      </c>
      <c r="Q22" s="158" cm="1">
        <f t="array" ref="Q22">$T$33 * INDEX($T$2:$AE$13, ROW()-ROW($F$17)+1, 1) * INDEX($T$17:$AF$29, COLUMN()-COLUMN($F$17)+1, 1)</f>
        <v>0.41462839986223421</v>
      </c>
      <c r="R22" s="158" cm="1">
        <f t="array" ref="R22">$T$33 * INDEX($T$2:$AE$13, ROW()-ROW($F$17)+1, 1) * INDEX($T$17:$AF$29, COLUMN()-COLUMN($F$17)+1, 1)</f>
        <v>0.35649986254351973</v>
      </c>
      <c r="T22" s="170">
        <v>-2.7091882497735992E-2</v>
      </c>
      <c r="U22" s="170">
        <v>-0.10120115710160159</v>
      </c>
      <c r="V22" s="170">
        <v>0.38584369722385348</v>
      </c>
      <c r="W22" s="170">
        <v>5.2647031950267265E-2</v>
      </c>
      <c r="X22" s="170">
        <v>-0.4212802338083097</v>
      </c>
      <c r="Y22" s="170">
        <v>0.397684662809345</v>
      </c>
      <c r="Z22" s="170">
        <v>4.1909363614886175E-2</v>
      </c>
      <c r="AA22" s="170">
        <v>0.13975641615227943</v>
      </c>
      <c r="AB22" s="170">
        <v>0.15004398363327576</v>
      </c>
      <c r="AC22" s="170">
        <v>-0.45458009510511893</v>
      </c>
      <c r="AD22" s="170">
        <v>-0.4621800341467458</v>
      </c>
      <c r="AE22" s="170">
        <v>-0.16815713304278571</v>
      </c>
      <c r="AF22" s="170">
        <v>-9.7033214676193344E-2</v>
      </c>
      <c r="AH22" s="291">
        <v>45866</v>
      </c>
      <c r="AI22" s="21">
        <f t="shared" si="2"/>
        <v>2.2203883388121994</v>
      </c>
    </row>
    <row r="23" spans="1:35" x14ac:dyDescent="0.3">
      <c r="A23" s="294">
        <v>211.27</v>
      </c>
      <c r="B23" s="293">
        <f t="shared" si="0"/>
        <v>211.20679252359827</v>
      </c>
      <c r="C23" s="21">
        <f t="shared" si="1"/>
        <v>0.21294227956120801</v>
      </c>
      <c r="D23" s="292" cm="1">
        <f t="array" ref="D23">AVERAGE(IF(((ROW($F$17:$R$28)-ROW($F$17)+1)+(COLUMN($F$17:$R$28)-COLUMN($F$17)+1)) = ROW()-ROW($D$2)+2, $F$17:$R$28))</f>
        <v>0.19281585846169647</v>
      </c>
      <c r="F23" s="158" cm="1">
        <f t="array" ref="F23">$T$33 * INDEX($T$2:$AE$13, ROW()-ROW($F$17)+1, 1) * INDEX($T$17:$AF$29, COLUMN()-COLUMN($F$17)+1, 1)</f>
        <v>0.81398151265011254</v>
      </c>
      <c r="G23" s="158" cm="1">
        <f t="array" ref="G23">$T$33 * INDEX($T$2:$AE$13, ROW()-ROW($F$17)+1, 1) * INDEX($T$17:$AF$29, COLUMN()-COLUMN($F$17)+1, 1)</f>
        <v>0.38805112578032341</v>
      </c>
      <c r="H23" s="158" cm="1">
        <f t="array" ref="H23">$T$33 * INDEX($T$2:$AE$13, ROW()-ROW($F$17)+1, 1) * INDEX($T$17:$AF$29, COLUMN()-COLUMN($F$17)+1, 1)</f>
        <v>-1.551913495211588E-2</v>
      </c>
      <c r="I23" s="158" cm="1">
        <f t="array" ref="I23">$T$33 * INDEX($T$2:$AE$13, ROW()-ROW($F$17)+1, 1) * INDEX($T$17:$AF$29, COLUMN()-COLUMN($F$17)+1, 1)</f>
        <v>-0.28832904105620993</v>
      </c>
      <c r="J23" s="158" cm="1">
        <f t="array" ref="J23">$T$33 * INDEX($T$2:$AE$13, ROW()-ROW($F$17)+1, 1) * INDEX($T$17:$AF$29, COLUMN()-COLUMN($F$17)+1, 1)</f>
        <v>-0.22715190995450912</v>
      </c>
      <c r="K23" s="158" cm="1">
        <f t="array" ref="K23">$T$33 * INDEX($T$2:$AE$13, ROW()-ROW($F$17)+1, 1) * INDEX($T$17:$AF$29, COLUMN()-COLUMN($F$17)+1, 1)</f>
        <v>-4.3399902565652793E-2</v>
      </c>
      <c r="L23" s="158" cm="1">
        <f t="array" ref="L23">$T$33 * INDEX($T$2:$AE$13, ROW()-ROW($F$17)+1, 1) * INDEX($T$17:$AF$29, COLUMN()-COLUMN($F$17)+1, 1)</f>
        <v>-2.0104350193823166E-2</v>
      </c>
      <c r="M23" s="158" cm="1">
        <f t="array" ref="M23">$T$33 * INDEX($T$2:$AE$13, ROW()-ROW($F$17)+1, 1) * INDEX($T$17:$AF$29, COLUMN()-COLUMN($F$17)+1, 1)</f>
        <v>5.1278709898635068E-2</v>
      </c>
      <c r="N23" s="158" cm="1">
        <f t="array" ref="N23">$T$33 * INDEX($T$2:$AE$13, ROW()-ROW($F$17)+1, 1) * INDEX($T$17:$AF$29, COLUMN()-COLUMN($F$17)+1, 1)</f>
        <v>0.23908088859176232</v>
      </c>
      <c r="O23" s="158" cm="1">
        <f t="array" ref="O23">$T$33 * INDEX($T$2:$AE$13, ROW()-ROW($F$17)+1, 1) * INDEX($T$17:$AF$29, COLUMN()-COLUMN($F$17)+1, 1)</f>
        <v>0.50007330738666556</v>
      </c>
      <c r="P23" s="158" cm="1">
        <f t="array" ref="P23">$T$33 * INDEX($T$2:$AE$13, ROW()-ROW($F$17)+1, 1) * INDEX($T$17:$AF$29, COLUMN()-COLUMN($F$17)+1, 1)</f>
        <v>0.69291006250420517</v>
      </c>
      <c r="Q23" s="158" cm="1">
        <f t="array" ref="Q23">$T$33 * INDEX($T$2:$AE$13, ROW()-ROW($F$17)+1, 1) * INDEX($T$17:$AF$29, COLUMN()-COLUMN($F$17)+1, 1)</f>
        <v>0.68907860827002432</v>
      </c>
      <c r="R23" s="158" cm="1">
        <f t="array" ref="R23">$T$33 * INDEX($T$2:$AE$13, ROW()-ROW($F$17)+1, 1) * INDEX($T$17:$AF$29, COLUMN()-COLUMN($F$17)+1, 1)</f>
        <v>0.592473716734228</v>
      </c>
      <c r="T23" s="170">
        <v>-1.2549905897149348E-2</v>
      </c>
      <c r="U23" s="170">
        <v>-0.26495933187004422</v>
      </c>
      <c r="V23" s="170">
        <v>0.36365074567661615</v>
      </c>
      <c r="W23" s="170">
        <v>-0.29245763070744935</v>
      </c>
      <c r="X23" s="170">
        <v>-0.16598222250278077</v>
      </c>
      <c r="Y23" s="170">
        <v>0.25058821098738754</v>
      </c>
      <c r="Z23" s="170">
        <v>-0.23479105394972571</v>
      </c>
      <c r="AA23" s="170">
        <v>-0.2882953217960727</v>
      </c>
      <c r="AB23" s="170">
        <v>-0.34762388540807687</v>
      </c>
      <c r="AC23" s="170">
        <v>-9.9897842397068462E-2</v>
      </c>
      <c r="AD23" s="170">
        <v>0.38625346087917334</v>
      </c>
      <c r="AE23" s="170">
        <v>0.42316227608462054</v>
      </c>
      <c r="AF23" s="170">
        <v>0.15556396724680666</v>
      </c>
      <c r="AH23" s="291">
        <v>45867</v>
      </c>
      <c r="AI23" s="21">
        <f t="shared" si="2"/>
        <v>6.3207476401743179E-2</v>
      </c>
    </row>
    <row r="24" spans="1:35" x14ac:dyDescent="0.3">
      <c r="A24" s="294">
        <v>209.05</v>
      </c>
      <c r="B24" s="293">
        <f t="shared" si="0"/>
        <v>210.59538350968592</v>
      </c>
      <c r="C24" s="21">
        <f t="shared" si="1"/>
        <v>-0.49394648399152402</v>
      </c>
      <c r="D24" s="292" cm="1">
        <f t="array" ref="D24">AVERAGE(IF(((ROW($F$17:$R$28)-ROW($F$17)+1)+(COLUMN($F$17:$R$28)-COLUMN($F$17)+1)) = ROW()-ROW($D$2)+2, $F$17:$R$28))</f>
        <v>-1.8679982362733022E-3</v>
      </c>
      <c r="F24" s="158" cm="1">
        <f t="array" ref="F24">$T$33 * INDEX($T$2:$AE$13, ROW()-ROW($F$17)+1, 1) * INDEX($T$17:$AF$29, COLUMN()-COLUMN($F$17)+1, 1)</f>
        <v>1.1139336411526692</v>
      </c>
      <c r="G24" s="158" cm="1">
        <f t="array" ref="G24">$T$33 * INDEX($T$2:$AE$13, ROW()-ROW($F$17)+1, 1) * INDEX($T$17:$AF$29, COLUMN()-COLUMN($F$17)+1, 1)</f>
        <v>0.53104793754655588</v>
      </c>
      <c r="H24" s="158" cm="1">
        <f t="array" ref="H24">$T$33 * INDEX($T$2:$AE$13, ROW()-ROW($F$17)+1, 1) * INDEX($T$17:$AF$29, COLUMN()-COLUMN($F$17)+1, 1)</f>
        <v>-2.1237935058828518E-2</v>
      </c>
      <c r="I24" s="158" cm="1">
        <f t="array" ref="I24">$T$33 * INDEX($T$2:$AE$13, ROW()-ROW($F$17)+1, 1) * INDEX($T$17:$AF$29, COLUMN()-COLUMN($F$17)+1, 1)</f>
        <v>-0.39457827181863692</v>
      </c>
      <c r="J24" s="158" cm="1">
        <f t="array" ref="J24">$T$33 * INDEX($T$2:$AE$13, ROW()-ROW($F$17)+1, 1) * INDEX($T$17:$AF$29, COLUMN()-COLUMN($F$17)+1, 1)</f>
        <v>-0.31085737233343613</v>
      </c>
      <c r="K24" s="158" cm="1">
        <f t="array" ref="K24">$T$33 * INDEX($T$2:$AE$13, ROW()-ROW($F$17)+1, 1) * INDEX($T$17:$AF$29, COLUMN()-COLUMN($F$17)+1, 1)</f>
        <v>-5.9392763520182627E-2</v>
      </c>
      <c r="L24" s="158" cm="1">
        <f t="array" ref="L24">$T$33 * INDEX($T$2:$AE$13, ROW()-ROW($F$17)+1, 1) * INDEX($T$17:$AF$29, COLUMN()-COLUMN($F$17)+1, 1)</f>
        <v>-2.7512801785266338E-2</v>
      </c>
      <c r="M24" s="158" cm="1">
        <f t="array" ref="M24">$T$33 * INDEX($T$2:$AE$13, ROW()-ROW($F$17)+1, 1) * INDEX($T$17:$AF$29, COLUMN()-COLUMN($F$17)+1, 1)</f>
        <v>7.0174910785168285E-2</v>
      </c>
      <c r="N24" s="158" cm="1">
        <f t="array" ref="N24">$T$33 * INDEX($T$2:$AE$13, ROW()-ROW($F$17)+1, 1) * INDEX($T$17:$AF$29, COLUMN()-COLUMN($F$17)+1, 1)</f>
        <v>0.32718217873519984</v>
      </c>
      <c r="O24" s="158" cm="1">
        <f t="array" ref="O24">$T$33 * INDEX($T$2:$AE$13, ROW()-ROW($F$17)+1, 1) * INDEX($T$17:$AF$29, COLUMN()-COLUMN($F$17)+1, 1)</f>
        <v>0.68435028496762906</v>
      </c>
      <c r="P24" s="158" cm="1">
        <f t="array" ref="P24">$T$33 * INDEX($T$2:$AE$13, ROW()-ROW($F$17)+1, 1) * INDEX($T$17:$AF$29, COLUMN()-COLUMN($F$17)+1, 1)</f>
        <v>0.94824737039010942</v>
      </c>
      <c r="Q24" s="158" cm="1">
        <f t="array" ref="Q24">$T$33 * INDEX($T$2:$AE$13, ROW()-ROW($F$17)+1, 1) * INDEX($T$17:$AF$29, COLUMN()-COLUMN($F$17)+1, 1)</f>
        <v>0.94300402554792084</v>
      </c>
      <c r="R24" s="158" cm="1">
        <f t="array" ref="R24">$T$33 * INDEX($T$2:$AE$13, ROW()-ROW($F$17)+1, 1) * INDEX($T$17:$AF$29, COLUMN()-COLUMN($F$17)+1, 1)</f>
        <v>0.81080023847261806</v>
      </c>
      <c r="T24" s="170">
        <v>3.2010135992995792E-2</v>
      </c>
      <c r="U24" s="170">
        <v>-0.40846087939820053</v>
      </c>
      <c r="V24" s="170">
        <v>0.17178453315663256</v>
      </c>
      <c r="W24" s="170">
        <v>-0.16107408547407776</v>
      </c>
      <c r="X24" s="170">
        <v>0.27310175720756102</v>
      </c>
      <c r="Y24" s="170">
        <v>0.19326456257218452</v>
      </c>
      <c r="Z24" s="170">
        <v>-0.43600908616665224</v>
      </c>
      <c r="AA24" s="170">
        <v>6.2538272281000534E-2</v>
      </c>
      <c r="AB24" s="170">
        <v>0.19811683735013647</v>
      </c>
      <c r="AC24" s="170">
        <v>0.48692486099628712</v>
      </c>
      <c r="AD24" s="170">
        <v>-0.17268113066439497</v>
      </c>
      <c r="AE24" s="170">
        <v>-0.14591906042049829</v>
      </c>
      <c r="AF24" s="170">
        <v>-0.37851328657861016</v>
      </c>
      <c r="AH24" s="291">
        <v>45868</v>
      </c>
      <c r="AI24" s="21">
        <f t="shared" si="2"/>
        <v>-1.5453835096859052</v>
      </c>
    </row>
    <row r="25" spans="1:35" x14ac:dyDescent="0.3">
      <c r="A25" s="294">
        <v>207.57</v>
      </c>
      <c r="B25" s="293">
        <f t="shared" si="0"/>
        <v>210.15407667323723</v>
      </c>
      <c r="C25" s="21">
        <f t="shared" si="1"/>
        <v>-0.96520565969335148</v>
      </c>
      <c r="D25" s="292" cm="1">
        <f t="array" ref="D25">AVERAGE(IF(((ROW($F$17:$R$28)-ROW($F$17)+1)+(COLUMN($F$17:$R$28)-COLUMN($F$17)+1)) = ROW()-ROW($D$2)+2, $F$17:$R$28))</f>
        <v>-0.14238819822032237</v>
      </c>
      <c r="F25" s="158" cm="1">
        <f t="array" ref="F25">$T$33 * INDEX($T$2:$AE$13, ROW()-ROW($F$17)+1, 1) * INDEX($T$17:$AF$29, COLUMN()-COLUMN($F$17)+1, 1)</f>
        <v>1.164930623024983</v>
      </c>
      <c r="G25" s="158" cm="1">
        <f t="array" ref="G25">$T$33 * INDEX($T$2:$AE$13, ROW()-ROW($F$17)+1, 1) * INDEX($T$17:$AF$29, COLUMN()-COLUMN($F$17)+1, 1)</f>
        <v>0.55535983642804376</v>
      </c>
      <c r="H25" s="158" cm="1">
        <f t="array" ref="H25">$T$33 * INDEX($T$2:$AE$13, ROW()-ROW($F$17)+1, 1) * INDEX($T$17:$AF$29, COLUMN()-COLUMN($F$17)+1, 1)</f>
        <v>-2.2210228693914105E-2</v>
      </c>
      <c r="I25" s="158" cm="1">
        <f t="array" ref="I25">$T$33 * INDEX($T$2:$AE$13, ROW()-ROW($F$17)+1, 1) * INDEX($T$17:$AF$29, COLUMN()-COLUMN($F$17)+1, 1)</f>
        <v>-0.41264245466737631</v>
      </c>
      <c r="J25" s="158" cm="1">
        <f t="array" ref="J25">$T$33 * INDEX($T$2:$AE$13, ROW()-ROW($F$17)+1, 1) * INDEX($T$17:$AF$29, COLUMN()-COLUMN($F$17)+1, 1)</f>
        <v>-0.32508872974657543</v>
      </c>
      <c r="K25" s="158" cm="1">
        <f t="array" ref="K25">$T$33 * INDEX($T$2:$AE$13, ROW()-ROW($F$17)+1, 1) * INDEX($T$17:$AF$29, COLUMN()-COLUMN($F$17)+1, 1)</f>
        <v>-6.2111822872274007E-2</v>
      </c>
      <c r="L25" s="158" cm="1">
        <f t="array" ref="L25">$T$33 * INDEX($T$2:$AE$13, ROW()-ROW($F$17)+1, 1) * INDEX($T$17:$AF$29, COLUMN()-COLUMN($F$17)+1, 1)</f>
        <v>-2.8772365014228456E-2</v>
      </c>
      <c r="M25" s="158" cm="1">
        <f t="array" ref="M25">$T$33 * INDEX($T$2:$AE$13, ROW()-ROW($F$17)+1, 1) * INDEX($T$17:$AF$29, COLUMN()-COLUMN($F$17)+1, 1)</f>
        <v>7.3387587484203348E-2</v>
      </c>
      <c r="N25" s="158" cm="1">
        <f t="array" ref="N25">$T$33 * INDEX($T$2:$AE$13, ROW()-ROW($F$17)+1, 1) * INDEX($T$17:$AF$29, COLUMN()-COLUMN($F$17)+1, 1)</f>
        <v>0.34216090190280035</v>
      </c>
      <c r="O25" s="158" cm="1">
        <f t="array" ref="O25">$T$33 * INDEX($T$2:$AE$13, ROW()-ROW($F$17)+1, 1) * INDEX($T$17:$AF$29, COLUMN()-COLUMN($F$17)+1, 1)</f>
        <v>0.71568051666858878</v>
      </c>
      <c r="P25" s="158" cm="1">
        <f t="array" ref="P25">$T$33 * INDEX($T$2:$AE$13, ROW()-ROW($F$17)+1, 1) * INDEX($T$17:$AF$29, COLUMN()-COLUMN($F$17)+1, 1)</f>
        <v>0.99165907120580088</v>
      </c>
      <c r="Q25" s="158" cm="1">
        <f t="array" ref="Q25">$T$33 * INDEX($T$2:$AE$13, ROW()-ROW($F$17)+1, 1) * INDEX($T$17:$AF$29, COLUMN()-COLUMN($F$17)+1, 1)</f>
        <v>0.98617568086001239</v>
      </c>
      <c r="R25" s="158" cm="1">
        <f t="array" ref="R25">$T$33 * INDEX($T$2:$AE$13, ROW()-ROW($F$17)+1, 1) * INDEX($T$17:$AF$29, COLUMN()-COLUMN($F$17)+1, 1)</f>
        <v>0.84791947388835576</v>
      </c>
      <c r="T25" s="170">
        <v>0.14924345351660837</v>
      </c>
      <c r="U25" s="170">
        <v>-0.45331820270605444</v>
      </c>
      <c r="V25" s="170">
        <v>7.2831012591206473E-2</v>
      </c>
      <c r="W25" s="170">
        <v>0.18689793515879063</v>
      </c>
      <c r="X25" s="170">
        <v>0.13452048083519663</v>
      </c>
      <c r="Y25" s="170">
        <v>-0.12745313589291532</v>
      </c>
      <c r="Z25" s="170">
        <v>-0.12827684573259371</v>
      </c>
      <c r="AA25" s="170">
        <v>0.53209306590370764</v>
      </c>
      <c r="AB25" s="170">
        <v>8.2327420716932026E-2</v>
      </c>
      <c r="AC25" s="170">
        <v>-0.22189117275606687</v>
      </c>
      <c r="AD25" s="170">
        <v>0.33207506604319736</v>
      </c>
      <c r="AE25" s="170">
        <v>-0.23549360254009885</v>
      </c>
      <c r="AF25" s="170">
        <v>0.41991806283521393</v>
      </c>
      <c r="AH25" s="291">
        <v>45869</v>
      </c>
      <c r="AI25" s="21">
        <f t="shared" si="2"/>
        <v>-2.5840766732372344</v>
      </c>
    </row>
    <row r="26" spans="1:35" x14ac:dyDescent="0.3">
      <c r="B26" s="290">
        <f t="shared" si="0"/>
        <v>209.92171525281447</v>
      </c>
      <c r="C26" s="21"/>
      <c r="D26" s="289">
        <f>SUMPRODUCT($D$33:$D$44,D14:D25)</f>
        <v>-0.21637634109419984</v>
      </c>
      <c r="F26" s="158" cm="1">
        <f t="array" ref="F26">$T$33 * INDEX($T$2:$AE$13, ROW()-ROW($F$17)+1, 1) * INDEX($T$17:$AF$29, COLUMN()-COLUMN($F$17)+1, 1)</f>
        <v>0.76484829665845755</v>
      </c>
      <c r="G26" s="158" cm="1">
        <f t="array" ref="G26">$T$33 * INDEX($T$2:$AE$13, ROW()-ROW($F$17)+1, 1) * INDEX($T$17:$AF$29, COLUMN()-COLUMN($F$17)+1, 1)</f>
        <v>0.36462774394368325</v>
      </c>
      <c r="H26" s="158" cm="1">
        <f t="array" ref="H26">$T$33 * INDEX($T$2:$AE$13, ROW()-ROW($F$17)+1, 1) * INDEX($T$17:$AF$29, COLUMN()-COLUMN($F$17)+1, 1)</f>
        <v>-1.4582375335643223E-2</v>
      </c>
      <c r="I26" s="158" cm="1">
        <f t="array" ref="I26">$T$33 * INDEX($T$2:$AE$13, ROW()-ROW($F$17)+1, 1) * INDEX($T$17:$AF$29, COLUMN()-COLUMN($F$17)+1, 1)</f>
        <v>-0.2709250425246475</v>
      </c>
      <c r="J26" s="158" cm="1">
        <f t="array" ref="J26">$T$33 * INDEX($T$2:$AE$13, ROW()-ROW($F$17)+1, 1) * INDEX($T$17:$AF$29, COLUMN()-COLUMN($F$17)+1, 1)</f>
        <v>-0.21344066015182564</v>
      </c>
      <c r="K26" s="158" cm="1">
        <f t="array" ref="K26">$T$33 * INDEX($T$2:$AE$13, ROW()-ROW($F$17)+1, 1) * INDEX($T$17:$AF$29, COLUMN()-COLUMN($F$17)+1, 1)</f>
        <v>-4.0780215565843013E-2</v>
      </c>
      <c r="L26" s="158" cm="1">
        <f t="array" ref="L26">$T$33 * INDEX($T$2:$AE$13, ROW()-ROW($F$17)+1, 1) * INDEX($T$17:$AF$29, COLUMN()-COLUMN($F$17)+1, 1)</f>
        <v>-1.8890819708064353E-2</v>
      </c>
      <c r="M26" s="158" cm="1">
        <f t="array" ref="M26">$T$33 * INDEX($T$2:$AE$13, ROW()-ROW($F$17)+1, 1) * INDEX($T$17:$AF$29, COLUMN()-COLUMN($F$17)+1, 1)</f>
        <v>4.8183445583576789E-2</v>
      </c>
      <c r="N26" s="158" cm="1">
        <f t="array" ref="N26">$T$33 * INDEX($T$2:$AE$13, ROW()-ROW($F$17)+1, 1) * INDEX($T$17:$AF$29, COLUMN()-COLUMN($F$17)+1, 1)</f>
        <v>0.22464958670578791</v>
      </c>
      <c r="O26" s="158" cm="1">
        <f t="array" ref="O26">$T$33 * INDEX($T$2:$AE$13, ROW()-ROW($F$17)+1, 1) * INDEX($T$17:$AF$29, COLUMN()-COLUMN($F$17)+1, 1)</f>
        <v>0.46988808887538008</v>
      </c>
      <c r="P26" s="158" cm="1">
        <f t="array" ref="P26">$T$33 * INDEX($T$2:$AE$13, ROW()-ROW($F$17)+1, 1) * INDEX($T$17:$AF$29, COLUMN()-COLUMN($F$17)+1, 1)</f>
        <v>0.6510849113985383</v>
      </c>
      <c r="Q26" s="158" cm="1">
        <f t="array" ref="Q26">$T$33 * INDEX($T$2:$AE$13, ROW()-ROW($F$17)+1, 1) * INDEX($T$17:$AF$29, COLUMN()-COLUMN($F$17)+1, 1)</f>
        <v>0.64748472982291849</v>
      </c>
      <c r="R26" s="158" cm="1">
        <f t="array" ref="R26">$T$33 * INDEX($T$2:$AE$13, ROW()-ROW($F$17)+1, 1) * INDEX($T$17:$AF$29, COLUMN()-COLUMN($F$17)+1, 1)</f>
        <v>0.55671106286398664</v>
      </c>
      <c r="T26" s="170">
        <v>0.31216492395298023</v>
      </c>
      <c r="U26" s="170">
        <v>-0.39217169302302679</v>
      </c>
      <c r="V26" s="170">
        <v>9.5616795114647046E-2</v>
      </c>
      <c r="W26" s="170">
        <v>8.4527675197347302E-2</v>
      </c>
      <c r="X26" s="170">
        <v>-0.1919635001518287</v>
      </c>
      <c r="Y26" s="170">
        <v>-0.30140596360814531</v>
      </c>
      <c r="Z26" s="170">
        <v>0.4450353777824646</v>
      </c>
      <c r="AA26" s="170">
        <v>0.18174928446623642</v>
      </c>
      <c r="AB26" s="170">
        <v>-3.7565849961089151E-2</v>
      </c>
      <c r="AC26" s="170">
        <v>0.23874438064384926</v>
      </c>
      <c r="AD26" s="170">
        <v>-0.23570299922822852</v>
      </c>
      <c r="AE26" s="170">
        <v>0.49660907332146731</v>
      </c>
      <c r="AF26" s="170">
        <v>-0.11443577224305523</v>
      </c>
    </row>
    <row r="27" spans="1:35" x14ac:dyDescent="0.3">
      <c r="B27" s="290">
        <f t="shared" si="0"/>
        <v>209.85626563095269</v>
      </c>
      <c r="C27" s="21"/>
      <c r="D27" s="289">
        <f>SUMPRODUCT($D$33:$D$44,D15:D26)</f>
        <v>-0.23721670247836868</v>
      </c>
      <c r="F27" s="158" cm="1">
        <f t="array" ref="F27">$T$33 * INDEX($T$2:$AE$13, ROW()-ROW($F$17)+1, 1) * INDEX($T$17:$AF$29, COLUMN()-COLUMN($F$17)+1, 1)</f>
        <v>0.22238699121678476</v>
      </c>
      <c r="G27" s="158" cm="1">
        <f t="array" ref="G27">$T$33 * INDEX($T$2:$AE$13, ROW()-ROW($F$17)+1, 1) * INDEX($T$17:$AF$29, COLUMN()-COLUMN($F$17)+1, 1)</f>
        <v>0.10601902003844028</v>
      </c>
      <c r="H27" s="158" cm="1">
        <f t="array" ref="H27">$T$33 * INDEX($T$2:$AE$13, ROW()-ROW($F$17)+1, 1) * INDEX($T$17:$AF$29, COLUMN()-COLUMN($F$17)+1, 1)</f>
        <v>-4.2399657420374385E-3</v>
      </c>
      <c r="I27" s="158" cm="1">
        <f t="array" ref="I27">$T$33 * INDEX($T$2:$AE$13, ROW()-ROW($F$17)+1, 1) * INDEX($T$17:$AF$29, COLUMN()-COLUMN($F$17)+1, 1)</f>
        <v>-7.8774059268436211E-2</v>
      </c>
      <c r="J27" s="158" cm="1">
        <f t="array" ref="J27">$T$33 * INDEX($T$2:$AE$13, ROW()-ROW($F$17)+1, 1) * INDEX($T$17:$AF$29, COLUMN()-COLUMN($F$17)+1, 1)</f>
        <v>-6.2059922760977118E-2</v>
      </c>
      <c r="K27" s="158" cm="1">
        <f t="array" ref="K27">$T$33 * INDEX($T$2:$AE$13, ROW()-ROW($F$17)+1, 1) * INDEX($T$17:$AF$29, COLUMN()-COLUMN($F$17)+1, 1)</f>
        <v>-1.185723950812362E-2</v>
      </c>
      <c r="L27" s="158" cm="1">
        <f t="array" ref="L27">$T$33 * INDEX($T$2:$AE$13, ROW()-ROW($F$17)+1, 1) * INDEX($T$17:$AF$29, COLUMN()-COLUMN($F$17)+1, 1)</f>
        <v>-5.4926873405474258E-3</v>
      </c>
      <c r="M27" s="158" cm="1">
        <f t="array" ref="M27">$T$33 * INDEX($T$2:$AE$13, ROW()-ROW($F$17)+1, 1) * INDEX($T$17:$AF$29, COLUMN()-COLUMN($F$17)+1, 1)</f>
        <v>1.400979976892628E-2</v>
      </c>
      <c r="N27" s="158" cm="1">
        <f t="array" ref="N27">$T$33 * INDEX($T$2:$AE$13, ROW()-ROW($F$17)+1, 1) * INDEX($T$17:$AF$29, COLUMN()-COLUMN($F$17)+1, 1)</f>
        <v>6.5319025856317756E-2</v>
      </c>
      <c r="O27" s="158" cm="1">
        <f t="array" ref="O27">$T$33 * INDEX($T$2:$AE$13, ROW()-ROW($F$17)+1, 1) * INDEX($T$17:$AF$29, COLUMN()-COLUMN($F$17)+1, 1)</f>
        <v>0.13662447671013639</v>
      </c>
      <c r="P27" s="158" cm="1">
        <f t="array" ref="P27">$T$33 * INDEX($T$2:$AE$13, ROW()-ROW($F$17)+1, 1) * INDEX($T$17:$AF$29, COLUMN()-COLUMN($F$17)+1, 1)</f>
        <v>0.18930919386910125</v>
      </c>
      <c r="Q27" s="158" cm="1">
        <f t="array" ref="Q27">$T$33 * INDEX($T$2:$AE$13, ROW()-ROW($F$17)+1, 1) * INDEX($T$17:$AF$29, COLUMN()-COLUMN($F$17)+1, 1)</f>
        <v>0.18826240648402887</v>
      </c>
      <c r="R27" s="158" cm="1">
        <f t="array" ref="R27">$T$33 * INDEX($T$2:$AE$13, ROW()-ROW($F$17)+1, 1) * INDEX($T$17:$AF$29, COLUMN()-COLUMN($F$17)+1, 1)</f>
        <v>0.16186909062661542</v>
      </c>
      <c r="T27" s="170">
        <v>0.43254101703259135</v>
      </c>
      <c r="U27" s="170">
        <v>-0.24794688075681021</v>
      </c>
      <c r="V27" s="170">
        <v>-5.6788612236586225E-2</v>
      </c>
      <c r="W27" s="170">
        <v>-0.18709501994686484</v>
      </c>
      <c r="X27" s="170">
        <v>6.0090239246095953E-2</v>
      </c>
      <c r="Y27" s="170">
        <v>3.5307975537396792E-2</v>
      </c>
      <c r="Z27" s="170">
        <v>0.39039839232131301</v>
      </c>
      <c r="AA27" s="170">
        <v>-0.41782060369432344</v>
      </c>
      <c r="AB27" s="170">
        <v>0.1411922880088203</v>
      </c>
      <c r="AC27" s="170">
        <v>-0.20888491190301328</v>
      </c>
      <c r="AD27" s="170">
        <v>0.2965767676429153</v>
      </c>
      <c r="AE27" s="170">
        <v>-0.38968354538565392</v>
      </c>
      <c r="AF27" s="170">
        <v>-0.27924801715889269</v>
      </c>
    </row>
    <row r="28" spans="1:35" x14ac:dyDescent="0.3">
      <c r="B28" s="290">
        <f t="shared" si="0"/>
        <v>209.97903737322153</v>
      </c>
      <c r="C28" s="21"/>
      <c r="D28" s="289">
        <f>SUMPRODUCT($D$33:$D$44,D16:D27)</f>
        <v>-0.19812392541006266</v>
      </c>
      <c r="F28" s="158" cm="1">
        <f t="array" ref="F28">$T$33 * INDEX($T$2:$AE$13, ROW()-ROW($F$17)+1, 1) * INDEX($T$17:$AF$29, COLUMN()-COLUMN($F$17)+1, 1)</f>
        <v>-0.19562278915892081</v>
      </c>
      <c r="G28" s="158" cm="1">
        <f t="array" ref="G28">$T$33 * INDEX($T$2:$AE$13, ROW()-ROW($F$17)+1, 1) * INDEX($T$17:$AF$29, COLUMN()-COLUMN($F$17)+1, 1)</f>
        <v>-9.3259665461267613E-2</v>
      </c>
      <c r="H28" s="158" cm="1">
        <f t="array" ref="H28">$T$33 * INDEX($T$2:$AE$13, ROW()-ROW($F$17)+1, 1) * INDEX($T$17:$AF$29, COLUMN()-COLUMN($F$17)+1, 1)</f>
        <v>3.7296872441027712E-3</v>
      </c>
      <c r="I28" s="158" cm="1">
        <f t="array" ref="I28">$T$33 * INDEX($T$2:$AE$13, ROW()-ROW($F$17)+1, 1) * INDEX($T$17:$AF$29, COLUMN()-COLUMN($F$17)+1, 1)</f>
        <v>6.929362685805586E-2</v>
      </c>
      <c r="J28" s="158" cm="1">
        <f t="array" ref="J28">$T$33 * INDEX($T$2:$AE$13, ROW()-ROW($F$17)+1, 1) * INDEX($T$17:$AF$29, COLUMN()-COLUMN($F$17)+1, 1)</f>
        <v>5.4591031242717941E-2</v>
      </c>
      <c r="K28" s="158" cm="1">
        <f t="array" ref="K28">$T$33 * INDEX($T$2:$AE$13, ROW()-ROW($F$17)+1, 1) * INDEX($T$17:$AF$29, COLUMN()-COLUMN($F$17)+1, 1)</f>
        <v>1.0430224590085755E-2</v>
      </c>
      <c r="L28" s="158" cm="1">
        <f t="array" ref="L28">$T$33 * INDEX($T$2:$AE$13, ROW()-ROW($F$17)+1, 1) * INDEX($T$17:$AF$29, COLUMN()-COLUMN($F$17)+1, 1)</f>
        <v>4.8316442057006644E-3</v>
      </c>
      <c r="M28" s="158" cm="1">
        <f t="array" ref="M28">$T$33 * INDEX($T$2:$AE$13, ROW()-ROW($F$17)+1, 1) * INDEX($T$17:$AF$29, COLUMN()-COLUMN($F$17)+1, 1)</f>
        <v>-1.2323724923656921E-2</v>
      </c>
      <c r="N28" s="158" cm="1">
        <f t="array" ref="N28">$T$33 * INDEX($T$2:$AE$13, ROW()-ROW($F$17)+1, 1) * INDEX($T$17:$AF$29, COLUMN()-COLUMN($F$17)+1, 1)</f>
        <v>-5.7457902340611947E-2</v>
      </c>
      <c r="O28" s="158" cm="1">
        <f t="array" ref="O28">$T$33 * INDEX($T$2:$AE$13, ROW()-ROW($F$17)+1, 1) * INDEX($T$17:$AF$29, COLUMN()-COLUMN($F$17)+1, 1)</f>
        <v>-0.12018176537746006</v>
      </c>
      <c r="P28" s="158" cm="1">
        <f t="array" ref="P28">$T$33 * INDEX($T$2:$AE$13, ROW()-ROW($F$17)+1, 1) * INDEX($T$17:$AF$29, COLUMN()-COLUMN($F$17)+1, 1)</f>
        <v>-0.16652589396292602</v>
      </c>
      <c r="Q28" s="158" cm="1">
        <f t="array" ref="Q28">$T$33 * INDEX($T$2:$AE$13, ROW()-ROW($F$17)+1, 1) * INDEX($T$17:$AF$29, COLUMN()-COLUMN($F$17)+1, 1)</f>
        <v>-0.16560508709916202</v>
      </c>
      <c r="R28" s="158" cm="1">
        <f t="array" ref="R28">$T$33 * INDEX($T$2:$AE$13, ROW()-ROW($F$17)+1, 1) * INDEX($T$17:$AF$29, COLUMN()-COLUMN($F$17)+1, 1)</f>
        <v>-0.14238819822032237</v>
      </c>
      <c r="T28" s="170">
        <v>0.43014927645780882</v>
      </c>
      <c r="U28" s="170">
        <v>-0.10142143666720684</v>
      </c>
      <c r="V28" s="170">
        <v>-0.33878054495438426</v>
      </c>
      <c r="W28" s="170">
        <v>-5.6534411723407139E-2</v>
      </c>
      <c r="X28" s="170">
        <v>6.2701038770863429E-2</v>
      </c>
      <c r="Y28" s="170">
        <v>0.25814402079528687</v>
      </c>
      <c r="Z28" s="170">
        <v>-9.5944934008578259E-2</v>
      </c>
      <c r="AA28" s="170">
        <v>-0.16441708736254554</v>
      </c>
      <c r="AB28" s="170">
        <v>-0.36573959435174092</v>
      </c>
      <c r="AC28" s="170">
        <v>9.7176759525315071E-2</v>
      </c>
      <c r="AD28" s="170">
        <v>-0.45066229475178304</v>
      </c>
      <c r="AE28" s="170">
        <v>-0.12954334823016597</v>
      </c>
      <c r="AF28" s="170">
        <v>0.46564146468571455</v>
      </c>
    </row>
    <row r="29" spans="1:35" x14ac:dyDescent="0.3">
      <c r="B29" s="290">
        <f t="shared" si="0"/>
        <v>210.38441974027847</v>
      </c>
      <c r="C29" s="21"/>
      <c r="D29" s="289">
        <f>SUMPRODUCT($D$33:$D$44,D17:D28)</f>
        <v>-6.9042736124048765E-2</v>
      </c>
      <c r="T29" s="170">
        <v>0.36984480074533072</v>
      </c>
      <c r="U29" s="170">
        <v>9.3218503138457656E-2</v>
      </c>
      <c r="V29" s="170">
        <v>-0.49798940113196877</v>
      </c>
      <c r="W29" s="170">
        <v>4.6179907276704749E-2</v>
      </c>
      <c r="X29" s="170">
        <v>-0.40471887535537071</v>
      </c>
      <c r="Y29" s="170">
        <v>0.16169622171839418</v>
      </c>
      <c r="Z29" s="170">
        <v>-0.382854608490938</v>
      </c>
      <c r="AA29" s="170">
        <v>0.18215933526879716</v>
      </c>
      <c r="AB29" s="170">
        <v>0.2280408439756953</v>
      </c>
      <c r="AC29" s="170">
        <v>-9.9533080727915599E-2</v>
      </c>
      <c r="AD29" s="170">
        <v>0.20926413096058202</v>
      </c>
      <c r="AE29" s="170">
        <v>0.25294348590627097</v>
      </c>
      <c r="AF29" s="170">
        <v>-0.25498049230037761</v>
      </c>
    </row>
    <row r="30" spans="1:35" x14ac:dyDescent="0.3">
      <c r="D30" s="289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</row>
    <row r="31" spans="1:35" x14ac:dyDescent="0.3">
      <c r="D31" s="289"/>
      <c r="F31" s="20"/>
    </row>
    <row r="32" spans="1:35" x14ac:dyDescent="0.3">
      <c r="D32" t="s">
        <v>497</v>
      </c>
      <c r="F32" t="s">
        <v>483</v>
      </c>
      <c r="G32" t="s">
        <v>482</v>
      </c>
      <c r="T32" s="12" t="s">
        <v>464</v>
      </c>
    </row>
    <row r="33" spans="4:32" x14ac:dyDescent="0.3">
      <c r="D33" s="288" cm="1">
        <f t="array" ref="D33:D44">MMULT(MINVERSE(MMULT(TRANSPOSE(G33:R44),G33:R44)),MMULT(TRANSPOSE(G33:R44),F33:F44))</f>
        <v>-0.14045686655128975</v>
      </c>
      <c r="F33" s="286" cm="1">
        <f t="array" ref="F33">INDEX($D$2:$D$25, ROW()-ROW($F$33)+$K$1+1)</f>
        <v>-0.19498850236411205</v>
      </c>
      <c r="G33" s="285" cm="1">
        <f t="array" ref="G33">INDEX($D$2:$D$25, ROW()-ROW($G$33) + COLUMN()-COLUMN($G$33)+1)</f>
        <v>-1.3025487017845694</v>
      </c>
      <c r="H33" s="285" cm="1">
        <f t="array" ref="H33">INDEX($D$2:$D$25, ROW()-ROW($G$33) + COLUMN()-COLUMN($G$33)+1)</f>
        <v>-0.74792442349488852</v>
      </c>
      <c r="I33" s="285" cm="1">
        <f t="array" ref="I33">INDEX($D$2:$D$25, ROW()-ROW($G$33) + COLUMN()-COLUMN($G$33)+1)</f>
        <v>-0.22797524518618995</v>
      </c>
      <c r="J33" s="285" cm="1">
        <f t="array" ref="J33">INDEX($D$2:$D$25, ROW()-ROW($G$33) + COLUMN()-COLUMN($G$33)+1)</f>
        <v>0.16150883209803968</v>
      </c>
      <c r="K33" s="285" cm="1">
        <f t="array" ref="K33">INDEX($D$2:$D$25, ROW()-ROW($G$33) + COLUMN()-COLUMN($G$33)+1)</f>
        <v>0.26767253130258817</v>
      </c>
      <c r="L33" s="285" cm="1">
        <f t="array" ref="L33">INDEX($D$2:$D$25, ROW()-ROW($G$33) + COLUMN()-COLUMN($G$33)+1)</f>
        <v>0.19090476509987012</v>
      </c>
      <c r="M33" s="285" cm="1">
        <f t="array" ref="M33">INDEX($D$2:$D$25, ROW()-ROW($G$33) + COLUMN()-COLUMN($G$33)+1)</f>
        <v>0.15559405563548245</v>
      </c>
      <c r="N33" s="285" cm="1">
        <f t="array" ref="N33">INDEX($D$2:$D$25, ROW()-ROW($G$33) + COLUMN()-COLUMN($G$33)+1)</f>
        <v>0.14754279181357222</v>
      </c>
      <c r="O33" s="285" cm="1">
        <f t="array" ref="O33">INDEX($D$2:$D$25, ROW()-ROW($G$33) + COLUMN()-COLUMN($G$33)+1)</f>
        <v>0.10188155578965152</v>
      </c>
      <c r="P33" s="285" cm="1">
        <f t="array" ref="P33">INDEX($D$2:$D$25, ROW()-ROW($G$33) + COLUMN()-COLUMN($G$33)+1)</f>
        <v>-2.3654682936004923E-2</v>
      </c>
      <c r="Q33" s="285" cm="1">
        <f t="array" ref="Q33">INDEX($D$2:$D$25, ROW()-ROW($G$33) + COLUMN()-COLUMN($G$33)+1)</f>
        <v>-0.16439420676116467</v>
      </c>
      <c r="R33" s="285" cm="1">
        <f t="array" ref="R33">INDEX($D$2:$D$25, ROW()-ROW($G$33) + COLUMN()-COLUMN($G$33)+1)</f>
        <v>-0.23227562074778499</v>
      </c>
      <c r="T33" s="284" cm="1">
        <f t="array" ref="T33:AF44">[2]!SVD_D(F2:R13)</f>
        <v>5.2357697846848392</v>
      </c>
      <c r="U33" s="283">
        <v>0</v>
      </c>
      <c r="V33" s="283">
        <v>0</v>
      </c>
      <c r="W33" s="283">
        <v>0</v>
      </c>
      <c r="X33" s="283">
        <v>0</v>
      </c>
      <c r="Y33" s="283">
        <v>0</v>
      </c>
      <c r="Z33" s="283">
        <v>0</v>
      </c>
      <c r="AA33" s="283">
        <v>0</v>
      </c>
      <c r="AB33" s="283">
        <v>0</v>
      </c>
      <c r="AC33" s="283">
        <v>0</v>
      </c>
      <c r="AD33" s="283">
        <v>0</v>
      </c>
      <c r="AE33" s="283">
        <v>0</v>
      </c>
      <c r="AF33" s="283">
        <v>0</v>
      </c>
    </row>
    <row r="34" spans="4:32" x14ac:dyDescent="0.3">
      <c r="D34" s="287">
        <v>0.163042007166041</v>
      </c>
      <c r="F34" s="286" cm="1">
        <f t="array" ref="F34">INDEX($D$2:$D$25, ROW()-ROW($F$33)+$K$1+1)</f>
        <v>-4.4559229278070697E-2</v>
      </c>
      <c r="G34" s="285" cm="1">
        <f t="array" ref="G34">INDEX($D$2:$D$25, ROW()-ROW($G$33) + COLUMN()-COLUMN($G$33)+1)</f>
        <v>-0.74792442349488852</v>
      </c>
      <c r="H34" s="285" cm="1">
        <f t="array" ref="H34">INDEX($D$2:$D$25, ROW()-ROW($G$33) + COLUMN()-COLUMN($G$33)+1)</f>
        <v>-0.22797524518618995</v>
      </c>
      <c r="I34" s="285" cm="1">
        <f t="array" ref="I34">INDEX($D$2:$D$25, ROW()-ROW($G$33) + COLUMN()-COLUMN($G$33)+1)</f>
        <v>0.16150883209803968</v>
      </c>
      <c r="J34" s="285" cm="1">
        <f t="array" ref="J34">INDEX($D$2:$D$25, ROW()-ROW($G$33) + COLUMN()-COLUMN($G$33)+1)</f>
        <v>0.26767253130258817</v>
      </c>
      <c r="K34" s="285" cm="1">
        <f t="array" ref="K34">INDEX($D$2:$D$25, ROW()-ROW($G$33) + COLUMN()-COLUMN($G$33)+1)</f>
        <v>0.19090476509987012</v>
      </c>
      <c r="L34" s="285" cm="1">
        <f t="array" ref="L34">INDEX($D$2:$D$25, ROW()-ROW($G$33) + COLUMN()-COLUMN($G$33)+1)</f>
        <v>0.15559405563548245</v>
      </c>
      <c r="M34" s="285" cm="1">
        <f t="array" ref="M34">INDEX($D$2:$D$25, ROW()-ROW($G$33) + COLUMN()-COLUMN($G$33)+1)</f>
        <v>0.14754279181357222</v>
      </c>
      <c r="N34" s="285" cm="1">
        <f t="array" ref="N34">INDEX($D$2:$D$25, ROW()-ROW($G$33) + COLUMN()-COLUMN($G$33)+1)</f>
        <v>0.10188155578965152</v>
      </c>
      <c r="O34" s="285" cm="1">
        <f t="array" ref="O34">INDEX($D$2:$D$25, ROW()-ROW($G$33) + COLUMN()-COLUMN($G$33)+1)</f>
        <v>-2.3654682936004923E-2</v>
      </c>
      <c r="P34" s="285" cm="1">
        <f t="array" ref="P34">INDEX($D$2:$D$25, ROW()-ROW($G$33) + COLUMN()-COLUMN($G$33)+1)</f>
        <v>-0.16439420676116467</v>
      </c>
      <c r="Q34" s="285" cm="1">
        <f t="array" ref="Q34">INDEX($D$2:$D$25, ROW()-ROW($G$33) + COLUMN()-COLUMN($G$33)+1)</f>
        <v>-0.23227562074778499</v>
      </c>
      <c r="R34" s="285" cm="1">
        <f t="array" ref="R34">INDEX($D$2:$D$25, ROW()-ROW($G$33) + COLUMN()-COLUMN($G$33)+1)</f>
        <v>-0.19498850236411205</v>
      </c>
      <c r="T34" s="283">
        <v>0</v>
      </c>
      <c r="U34" s="284">
        <v>5.0003952440728474</v>
      </c>
      <c r="V34" s="283">
        <v>0</v>
      </c>
      <c r="W34" s="283">
        <v>0</v>
      </c>
      <c r="X34" s="283">
        <v>0</v>
      </c>
      <c r="Y34" s="283">
        <v>0</v>
      </c>
      <c r="Z34" s="283">
        <v>0</v>
      </c>
      <c r="AA34" s="283">
        <v>0</v>
      </c>
      <c r="AB34" s="283">
        <v>0</v>
      </c>
      <c r="AC34" s="283">
        <v>0</v>
      </c>
      <c r="AD34" s="283">
        <v>0</v>
      </c>
      <c r="AE34" s="283">
        <v>0</v>
      </c>
      <c r="AF34" s="283">
        <v>0</v>
      </c>
    </row>
    <row r="35" spans="4:32" x14ac:dyDescent="0.3">
      <c r="D35" s="287">
        <v>2.0044636400598392E-2</v>
      </c>
      <c r="F35" s="286" cm="1">
        <f t="array" ref="F35">INDEX($D$2:$D$25, ROW()-ROW($F$33)+$K$1+1)</f>
        <v>0.10321748548243581</v>
      </c>
      <c r="G35" s="285" cm="1">
        <f t="array" ref="G35">INDEX($D$2:$D$25, ROW()-ROW($G$33) + COLUMN()-COLUMN($G$33)+1)</f>
        <v>-0.22797524518618995</v>
      </c>
      <c r="H35" s="285" cm="1">
        <f t="array" ref="H35">INDEX($D$2:$D$25, ROW()-ROW($G$33) + COLUMN()-COLUMN($G$33)+1)</f>
        <v>0.16150883209803968</v>
      </c>
      <c r="I35" s="285" cm="1">
        <f t="array" ref="I35">INDEX($D$2:$D$25, ROW()-ROW($G$33) + COLUMN()-COLUMN($G$33)+1)</f>
        <v>0.26767253130258817</v>
      </c>
      <c r="J35" s="285" cm="1">
        <f t="array" ref="J35">INDEX($D$2:$D$25, ROW()-ROW($G$33) + COLUMN()-COLUMN($G$33)+1)</f>
        <v>0.19090476509987012</v>
      </c>
      <c r="K35" s="285" cm="1">
        <f t="array" ref="K35">INDEX($D$2:$D$25, ROW()-ROW($G$33) + COLUMN()-COLUMN($G$33)+1)</f>
        <v>0.15559405563548245</v>
      </c>
      <c r="L35" s="285" cm="1">
        <f t="array" ref="L35">INDEX($D$2:$D$25, ROW()-ROW($G$33) + COLUMN()-COLUMN($G$33)+1)</f>
        <v>0.14754279181357222</v>
      </c>
      <c r="M35" s="285" cm="1">
        <f t="array" ref="M35">INDEX($D$2:$D$25, ROW()-ROW($G$33) + COLUMN()-COLUMN($G$33)+1)</f>
        <v>0.10188155578965152</v>
      </c>
      <c r="N35" s="285" cm="1">
        <f t="array" ref="N35">INDEX($D$2:$D$25, ROW()-ROW($G$33) + COLUMN()-COLUMN($G$33)+1)</f>
        <v>-2.3654682936004923E-2</v>
      </c>
      <c r="O35" s="285" cm="1">
        <f t="array" ref="O35">INDEX($D$2:$D$25, ROW()-ROW($G$33) + COLUMN()-COLUMN($G$33)+1)</f>
        <v>-0.16439420676116467</v>
      </c>
      <c r="P35" s="285" cm="1">
        <f t="array" ref="P35">INDEX($D$2:$D$25, ROW()-ROW($G$33) + COLUMN()-COLUMN($G$33)+1)</f>
        <v>-0.23227562074778499</v>
      </c>
      <c r="Q35" s="285" cm="1">
        <f t="array" ref="Q35">INDEX($D$2:$D$25, ROW()-ROW($G$33) + COLUMN()-COLUMN($G$33)+1)</f>
        <v>-0.19498850236411205</v>
      </c>
      <c r="R35" s="285" cm="1">
        <f t="array" ref="R35">INDEX($D$2:$D$25, ROW()-ROW($G$33) + COLUMN()-COLUMN($G$33)+1)</f>
        <v>-4.4559229278070697E-2</v>
      </c>
      <c r="T35" s="283">
        <v>0</v>
      </c>
      <c r="U35" s="283">
        <v>0</v>
      </c>
      <c r="V35" s="284">
        <v>3.5281484896607522</v>
      </c>
      <c r="W35" s="283">
        <v>0</v>
      </c>
      <c r="X35" s="283">
        <v>0</v>
      </c>
      <c r="Y35" s="283">
        <v>0</v>
      </c>
      <c r="Z35" s="283">
        <v>0</v>
      </c>
      <c r="AA35" s="283">
        <v>0</v>
      </c>
      <c r="AB35" s="283">
        <v>0</v>
      </c>
      <c r="AC35" s="283">
        <v>0</v>
      </c>
      <c r="AD35" s="283">
        <v>0</v>
      </c>
      <c r="AE35" s="283">
        <v>0</v>
      </c>
      <c r="AF35" s="283">
        <v>0</v>
      </c>
    </row>
    <row r="36" spans="4:32" x14ac:dyDescent="0.3">
      <c r="D36" s="287">
        <v>0.37179685313503796</v>
      </c>
      <c r="F36" s="286" cm="1">
        <f t="array" ref="F36">INDEX($D$2:$D$25, ROW()-ROW($F$33)+$K$1+1)</f>
        <v>0.22213405380300993</v>
      </c>
      <c r="G36" s="285" cm="1">
        <f t="array" ref="G36">INDEX($D$2:$D$25, ROW()-ROW($G$33) + COLUMN()-COLUMN($G$33)+1)</f>
        <v>0.16150883209803968</v>
      </c>
      <c r="H36" s="285" cm="1">
        <f t="array" ref="H36">INDEX($D$2:$D$25, ROW()-ROW($G$33) + COLUMN()-COLUMN($G$33)+1)</f>
        <v>0.26767253130258817</v>
      </c>
      <c r="I36" s="285" cm="1">
        <f t="array" ref="I36">INDEX($D$2:$D$25, ROW()-ROW($G$33) + COLUMN()-COLUMN($G$33)+1)</f>
        <v>0.19090476509987012</v>
      </c>
      <c r="J36" s="285" cm="1">
        <f t="array" ref="J36">INDEX($D$2:$D$25, ROW()-ROW($G$33) + COLUMN()-COLUMN($G$33)+1)</f>
        <v>0.15559405563548245</v>
      </c>
      <c r="K36" s="285" cm="1">
        <f t="array" ref="K36">INDEX($D$2:$D$25, ROW()-ROW($G$33) + COLUMN()-COLUMN($G$33)+1)</f>
        <v>0.14754279181357222</v>
      </c>
      <c r="L36" s="285" cm="1">
        <f t="array" ref="L36">INDEX($D$2:$D$25, ROW()-ROW($G$33) + COLUMN()-COLUMN($G$33)+1)</f>
        <v>0.10188155578965152</v>
      </c>
      <c r="M36" s="285" cm="1">
        <f t="array" ref="M36">INDEX($D$2:$D$25, ROW()-ROW($G$33) + COLUMN()-COLUMN($G$33)+1)</f>
        <v>-2.3654682936004923E-2</v>
      </c>
      <c r="N36" s="285" cm="1">
        <f t="array" ref="N36">INDEX($D$2:$D$25, ROW()-ROW($G$33) + COLUMN()-COLUMN($G$33)+1)</f>
        <v>-0.16439420676116467</v>
      </c>
      <c r="O36" s="285" cm="1">
        <f t="array" ref="O36">INDEX($D$2:$D$25, ROW()-ROW($G$33) + COLUMN()-COLUMN($G$33)+1)</f>
        <v>-0.23227562074778499</v>
      </c>
      <c r="P36" s="285" cm="1">
        <f t="array" ref="P36">INDEX($D$2:$D$25, ROW()-ROW($G$33) + COLUMN()-COLUMN($G$33)+1)</f>
        <v>-0.19498850236411205</v>
      </c>
      <c r="Q36" s="285" cm="1">
        <f t="array" ref="Q36">INDEX($D$2:$D$25, ROW()-ROW($G$33) + COLUMN()-COLUMN($G$33)+1)</f>
        <v>-4.4559229278070697E-2</v>
      </c>
      <c r="R36" s="285" cm="1">
        <f t="array" ref="R36">INDEX($D$2:$D$25, ROW()-ROW($G$33) + COLUMN()-COLUMN($G$33)+1)</f>
        <v>0.10321748548243581</v>
      </c>
      <c r="T36" s="283">
        <v>0</v>
      </c>
      <c r="U36" s="283">
        <v>0</v>
      </c>
      <c r="V36" s="283">
        <v>0</v>
      </c>
      <c r="W36" s="284">
        <v>2.389623485560092</v>
      </c>
      <c r="X36" s="283">
        <v>0</v>
      </c>
      <c r="Y36" s="283">
        <v>0</v>
      </c>
      <c r="Z36" s="283">
        <v>0</v>
      </c>
      <c r="AA36" s="283">
        <v>0</v>
      </c>
      <c r="AB36" s="283">
        <v>0</v>
      </c>
      <c r="AC36" s="283">
        <v>0</v>
      </c>
      <c r="AD36" s="283">
        <v>0</v>
      </c>
      <c r="AE36" s="283">
        <v>0</v>
      </c>
      <c r="AF36" s="283">
        <v>0</v>
      </c>
    </row>
    <row r="37" spans="4:32" x14ac:dyDescent="0.3">
      <c r="D37" s="287">
        <v>-4.262064626755091E-2</v>
      </c>
      <c r="F37" s="286" cm="1">
        <f t="array" ref="F37">INDEX($D$2:$D$25, ROW()-ROW($F$33)+$K$1+1)</f>
        <v>0.3200749800819026</v>
      </c>
      <c r="G37" s="285" cm="1">
        <f t="array" ref="G37">INDEX($D$2:$D$25, ROW()-ROW($G$33) + COLUMN()-COLUMN($G$33)+1)</f>
        <v>0.26767253130258817</v>
      </c>
      <c r="H37" s="285" cm="1">
        <f t="array" ref="H37">INDEX($D$2:$D$25, ROW()-ROW($G$33) + COLUMN()-COLUMN($G$33)+1)</f>
        <v>0.19090476509987012</v>
      </c>
      <c r="I37" s="285" cm="1">
        <f t="array" ref="I37">INDEX($D$2:$D$25, ROW()-ROW($G$33) + COLUMN()-COLUMN($G$33)+1)</f>
        <v>0.15559405563548245</v>
      </c>
      <c r="J37" s="285" cm="1">
        <f t="array" ref="J37">INDEX($D$2:$D$25, ROW()-ROW($G$33) + COLUMN()-COLUMN($G$33)+1)</f>
        <v>0.14754279181357222</v>
      </c>
      <c r="K37" s="285" cm="1">
        <f t="array" ref="K37">INDEX($D$2:$D$25, ROW()-ROW($G$33) + COLUMN()-COLUMN($G$33)+1)</f>
        <v>0.10188155578965152</v>
      </c>
      <c r="L37" s="285" cm="1">
        <f t="array" ref="L37">INDEX($D$2:$D$25, ROW()-ROW($G$33) + COLUMN()-COLUMN($G$33)+1)</f>
        <v>-2.3654682936004923E-2</v>
      </c>
      <c r="M37" s="285" cm="1">
        <f t="array" ref="M37">INDEX($D$2:$D$25, ROW()-ROW($G$33) + COLUMN()-COLUMN($G$33)+1)</f>
        <v>-0.16439420676116467</v>
      </c>
      <c r="N37" s="285" cm="1">
        <f t="array" ref="N37">INDEX($D$2:$D$25, ROW()-ROW($G$33) + COLUMN()-COLUMN($G$33)+1)</f>
        <v>-0.23227562074778499</v>
      </c>
      <c r="O37" s="285" cm="1">
        <f t="array" ref="O37">INDEX($D$2:$D$25, ROW()-ROW($G$33) + COLUMN()-COLUMN($G$33)+1)</f>
        <v>-0.19498850236411205</v>
      </c>
      <c r="P37" s="285" cm="1">
        <f t="array" ref="P37">INDEX($D$2:$D$25, ROW()-ROW($G$33) + COLUMN()-COLUMN($G$33)+1)</f>
        <v>-4.4559229278070697E-2</v>
      </c>
      <c r="Q37" s="285" cm="1">
        <f t="array" ref="Q37">INDEX($D$2:$D$25, ROW()-ROW($G$33) + COLUMN()-COLUMN($G$33)+1)</f>
        <v>0.10321748548243581</v>
      </c>
      <c r="R37" s="285" cm="1">
        <f t="array" ref="R37">INDEX($D$2:$D$25, ROW()-ROW($G$33) + COLUMN()-COLUMN($G$33)+1)</f>
        <v>0.22213405380300993</v>
      </c>
      <c r="T37" s="283">
        <v>0</v>
      </c>
      <c r="U37" s="283">
        <v>0</v>
      </c>
      <c r="V37" s="283">
        <v>0</v>
      </c>
      <c r="W37" s="283">
        <v>0</v>
      </c>
      <c r="X37" s="284">
        <v>1.6219520291611704</v>
      </c>
      <c r="Y37" s="283">
        <v>0</v>
      </c>
      <c r="Z37" s="283">
        <v>0</v>
      </c>
      <c r="AA37" s="283">
        <v>0</v>
      </c>
      <c r="AB37" s="283">
        <v>0</v>
      </c>
      <c r="AC37" s="283">
        <v>0</v>
      </c>
      <c r="AD37" s="283">
        <v>0</v>
      </c>
      <c r="AE37" s="283">
        <v>0</v>
      </c>
      <c r="AF37" s="283">
        <v>0</v>
      </c>
    </row>
    <row r="38" spans="4:32" x14ac:dyDescent="0.3">
      <c r="D38" s="287">
        <v>-5.8979715942768962E-2</v>
      </c>
      <c r="F38" s="286" cm="1">
        <f t="array" ref="F38">INDEX($D$2:$D$25, ROW()-ROW($F$33)+$K$1+1)</f>
        <v>0.42185676979323672</v>
      </c>
      <c r="G38" s="285" cm="1">
        <f t="array" ref="G38">INDEX($D$2:$D$25, ROW()-ROW($G$33) + COLUMN()-COLUMN($G$33)+1)</f>
        <v>0.19090476509987012</v>
      </c>
      <c r="H38" s="285" cm="1">
        <f t="array" ref="H38">INDEX($D$2:$D$25, ROW()-ROW($G$33) + COLUMN()-COLUMN($G$33)+1)</f>
        <v>0.15559405563548245</v>
      </c>
      <c r="I38" s="285" cm="1">
        <f t="array" ref="I38">INDEX($D$2:$D$25, ROW()-ROW($G$33) + COLUMN()-COLUMN($G$33)+1)</f>
        <v>0.14754279181357222</v>
      </c>
      <c r="J38" s="285" cm="1">
        <f t="array" ref="J38">INDEX($D$2:$D$25, ROW()-ROW($G$33) + COLUMN()-COLUMN($G$33)+1)</f>
        <v>0.10188155578965152</v>
      </c>
      <c r="K38" s="285" cm="1">
        <f t="array" ref="K38">INDEX($D$2:$D$25, ROW()-ROW($G$33) + COLUMN()-COLUMN($G$33)+1)</f>
        <v>-2.3654682936004923E-2</v>
      </c>
      <c r="L38" s="285" cm="1">
        <f t="array" ref="L38">INDEX($D$2:$D$25, ROW()-ROW($G$33) + COLUMN()-COLUMN($G$33)+1)</f>
        <v>-0.16439420676116467</v>
      </c>
      <c r="M38" s="285" cm="1">
        <f t="array" ref="M38">INDEX($D$2:$D$25, ROW()-ROW($G$33) + COLUMN()-COLUMN($G$33)+1)</f>
        <v>-0.23227562074778499</v>
      </c>
      <c r="N38" s="285" cm="1">
        <f t="array" ref="N38">INDEX($D$2:$D$25, ROW()-ROW($G$33) + COLUMN()-COLUMN($G$33)+1)</f>
        <v>-0.19498850236411205</v>
      </c>
      <c r="O38" s="285" cm="1">
        <f t="array" ref="O38">INDEX($D$2:$D$25, ROW()-ROW($G$33) + COLUMN()-COLUMN($G$33)+1)</f>
        <v>-4.4559229278070697E-2</v>
      </c>
      <c r="P38" s="285" cm="1">
        <f t="array" ref="P38">INDEX($D$2:$D$25, ROW()-ROW($G$33) + COLUMN()-COLUMN($G$33)+1)</f>
        <v>0.10321748548243581</v>
      </c>
      <c r="Q38" s="285" cm="1">
        <f t="array" ref="Q38">INDEX($D$2:$D$25, ROW()-ROW($G$33) + COLUMN()-COLUMN($G$33)+1)</f>
        <v>0.22213405380300993</v>
      </c>
      <c r="R38" s="285" cm="1">
        <f t="array" ref="R38">INDEX($D$2:$D$25, ROW()-ROW($G$33) + COLUMN()-COLUMN($G$33)+1)</f>
        <v>0.3200749800819026</v>
      </c>
      <c r="T38" s="283">
        <v>0</v>
      </c>
      <c r="U38" s="283">
        <v>0</v>
      </c>
      <c r="V38" s="283">
        <v>0</v>
      </c>
      <c r="W38" s="283">
        <v>0</v>
      </c>
      <c r="X38" s="283">
        <v>0</v>
      </c>
      <c r="Y38" s="284">
        <v>1.3851250077835173</v>
      </c>
      <c r="Z38" s="283">
        <v>0</v>
      </c>
      <c r="AA38" s="283">
        <v>0</v>
      </c>
      <c r="AB38" s="283">
        <v>0</v>
      </c>
      <c r="AC38" s="283">
        <v>0</v>
      </c>
      <c r="AD38" s="283">
        <v>0</v>
      </c>
      <c r="AE38" s="283">
        <v>0</v>
      </c>
      <c r="AF38" s="283">
        <v>0</v>
      </c>
    </row>
    <row r="39" spans="4:32" x14ac:dyDescent="0.3">
      <c r="D39" s="287">
        <v>-0.48929978298417609</v>
      </c>
      <c r="F39" s="286" cm="1">
        <f t="array" ref="F39">INDEX($D$2:$D$25, ROW()-ROW($F$33)+$K$1+1)</f>
        <v>0.50833670054933167</v>
      </c>
      <c r="G39" s="285" cm="1">
        <f t="array" ref="G39">INDEX($D$2:$D$25, ROW()-ROW($G$33) + COLUMN()-COLUMN($G$33)+1)</f>
        <v>0.15559405563548245</v>
      </c>
      <c r="H39" s="285" cm="1">
        <f t="array" ref="H39">INDEX($D$2:$D$25, ROW()-ROW($G$33) + COLUMN()-COLUMN($G$33)+1)</f>
        <v>0.14754279181357222</v>
      </c>
      <c r="I39" s="285" cm="1">
        <f t="array" ref="I39">INDEX($D$2:$D$25, ROW()-ROW($G$33) + COLUMN()-COLUMN($G$33)+1)</f>
        <v>0.10188155578965152</v>
      </c>
      <c r="J39" s="285" cm="1">
        <f t="array" ref="J39">INDEX($D$2:$D$25, ROW()-ROW($G$33) + COLUMN()-COLUMN($G$33)+1)</f>
        <v>-2.3654682936004923E-2</v>
      </c>
      <c r="K39" s="285" cm="1">
        <f t="array" ref="K39">INDEX($D$2:$D$25, ROW()-ROW($G$33) + COLUMN()-COLUMN($G$33)+1)</f>
        <v>-0.16439420676116467</v>
      </c>
      <c r="L39" s="285" cm="1">
        <f t="array" ref="L39">INDEX($D$2:$D$25, ROW()-ROW($G$33) + COLUMN()-COLUMN($G$33)+1)</f>
        <v>-0.23227562074778499</v>
      </c>
      <c r="M39" s="285" cm="1">
        <f t="array" ref="M39">INDEX($D$2:$D$25, ROW()-ROW($G$33) + COLUMN()-COLUMN($G$33)+1)</f>
        <v>-0.19498850236411205</v>
      </c>
      <c r="N39" s="285" cm="1">
        <f t="array" ref="N39">INDEX($D$2:$D$25, ROW()-ROW($G$33) + COLUMN()-COLUMN($G$33)+1)</f>
        <v>-4.4559229278070697E-2</v>
      </c>
      <c r="O39" s="285" cm="1">
        <f t="array" ref="O39">INDEX($D$2:$D$25, ROW()-ROW($G$33) + COLUMN()-COLUMN($G$33)+1)</f>
        <v>0.10321748548243581</v>
      </c>
      <c r="P39" s="285" cm="1">
        <f t="array" ref="P39">INDEX($D$2:$D$25, ROW()-ROW($G$33) + COLUMN()-COLUMN($G$33)+1)</f>
        <v>0.22213405380300993</v>
      </c>
      <c r="Q39" s="285" cm="1">
        <f t="array" ref="Q39">INDEX($D$2:$D$25, ROW()-ROW($G$33) + COLUMN()-COLUMN($G$33)+1)</f>
        <v>0.3200749800819026</v>
      </c>
      <c r="R39" s="285" cm="1">
        <f t="array" ref="R39">INDEX($D$2:$D$25, ROW()-ROW($G$33) + COLUMN()-COLUMN($G$33)+1)</f>
        <v>0.42185676979323672</v>
      </c>
      <c r="T39" s="283">
        <v>0</v>
      </c>
      <c r="U39" s="283">
        <v>0</v>
      </c>
      <c r="V39" s="283">
        <v>0</v>
      </c>
      <c r="W39" s="283">
        <v>0</v>
      </c>
      <c r="X39" s="283">
        <v>0</v>
      </c>
      <c r="Y39" s="283">
        <v>0</v>
      </c>
      <c r="Z39" s="284">
        <v>0.92471503596679783</v>
      </c>
      <c r="AA39" s="283">
        <v>0</v>
      </c>
      <c r="AB39" s="283">
        <v>0</v>
      </c>
      <c r="AC39" s="283">
        <v>0</v>
      </c>
      <c r="AD39" s="283">
        <v>0</v>
      </c>
      <c r="AE39" s="283">
        <v>0</v>
      </c>
      <c r="AF39" s="283">
        <v>0</v>
      </c>
    </row>
    <row r="40" spans="4:32" x14ac:dyDescent="0.3">
      <c r="D40" s="287">
        <v>0.49744928602240179</v>
      </c>
      <c r="F40" s="286" cm="1">
        <f t="array" ref="F40">INDEX($D$2:$D$25, ROW()-ROW($F$33)+$K$1+1)</f>
        <v>0.50544548102013864</v>
      </c>
      <c r="G40" s="285" cm="1">
        <f t="array" ref="G40">INDEX($D$2:$D$25, ROW()-ROW($G$33) + COLUMN()-COLUMN($G$33)+1)</f>
        <v>0.14754279181357222</v>
      </c>
      <c r="H40" s="285" cm="1">
        <f t="array" ref="H40">INDEX($D$2:$D$25, ROW()-ROW($G$33) + COLUMN()-COLUMN($G$33)+1)</f>
        <v>0.10188155578965152</v>
      </c>
      <c r="I40" s="285" cm="1">
        <f t="array" ref="I40">INDEX($D$2:$D$25, ROW()-ROW($G$33) + COLUMN()-COLUMN($G$33)+1)</f>
        <v>-2.3654682936004923E-2</v>
      </c>
      <c r="J40" s="285" cm="1">
        <f t="array" ref="J40">INDEX($D$2:$D$25, ROW()-ROW($G$33) + COLUMN()-COLUMN($G$33)+1)</f>
        <v>-0.16439420676116467</v>
      </c>
      <c r="K40" s="285" cm="1">
        <f t="array" ref="K40">INDEX($D$2:$D$25, ROW()-ROW($G$33) + COLUMN()-COLUMN($G$33)+1)</f>
        <v>-0.23227562074778499</v>
      </c>
      <c r="L40" s="285" cm="1">
        <f t="array" ref="L40">INDEX($D$2:$D$25, ROW()-ROW($G$33) + COLUMN()-COLUMN($G$33)+1)</f>
        <v>-0.19498850236411205</v>
      </c>
      <c r="M40" s="285" cm="1">
        <f t="array" ref="M40">INDEX($D$2:$D$25, ROW()-ROW($G$33) + COLUMN()-COLUMN($G$33)+1)</f>
        <v>-4.4559229278070697E-2</v>
      </c>
      <c r="N40" s="285" cm="1">
        <f t="array" ref="N40">INDEX($D$2:$D$25, ROW()-ROW($G$33) + COLUMN()-COLUMN($G$33)+1)</f>
        <v>0.10321748548243581</v>
      </c>
      <c r="O40" s="285" cm="1">
        <f t="array" ref="O40">INDEX($D$2:$D$25, ROW()-ROW($G$33) + COLUMN()-COLUMN($G$33)+1)</f>
        <v>0.22213405380300993</v>
      </c>
      <c r="P40" s="285" cm="1">
        <f t="array" ref="P40">INDEX($D$2:$D$25, ROW()-ROW($G$33) + COLUMN()-COLUMN($G$33)+1)</f>
        <v>0.3200749800819026</v>
      </c>
      <c r="Q40" s="285" cm="1">
        <f t="array" ref="Q40">INDEX($D$2:$D$25, ROW()-ROW($G$33) + COLUMN()-COLUMN($G$33)+1)</f>
        <v>0.42185676979323672</v>
      </c>
      <c r="R40" s="285" cm="1">
        <f t="array" ref="R40">INDEX($D$2:$D$25, ROW()-ROW($G$33) + COLUMN()-COLUMN($G$33)+1)</f>
        <v>0.50833670054933167</v>
      </c>
      <c r="T40" s="283">
        <v>0</v>
      </c>
      <c r="U40" s="283">
        <v>0</v>
      </c>
      <c r="V40" s="283">
        <v>0</v>
      </c>
      <c r="W40" s="283">
        <v>0</v>
      </c>
      <c r="X40" s="283">
        <v>0</v>
      </c>
      <c r="Y40" s="283">
        <v>0</v>
      </c>
      <c r="Z40" s="283">
        <v>0</v>
      </c>
      <c r="AA40" s="284">
        <v>0.70513698040828843</v>
      </c>
      <c r="AB40" s="283">
        <v>0</v>
      </c>
      <c r="AC40" s="283">
        <v>0</v>
      </c>
      <c r="AD40" s="283">
        <v>0</v>
      </c>
      <c r="AE40" s="283">
        <v>0</v>
      </c>
      <c r="AF40" s="283">
        <v>0</v>
      </c>
    </row>
    <row r="41" spans="4:32" x14ac:dyDescent="0.3">
      <c r="D41" s="287">
        <v>-9.0347459195754709E-2</v>
      </c>
      <c r="F41" s="286" cm="1">
        <f t="array" ref="F41">INDEX($D$2:$D$25, ROW()-ROW($F$33)+$K$1+1)</f>
        <v>0.39113290805072887</v>
      </c>
      <c r="G41" s="285" cm="1">
        <f t="array" ref="G41">INDEX($D$2:$D$25, ROW()-ROW($G$33) + COLUMN()-COLUMN($G$33)+1)</f>
        <v>0.10188155578965152</v>
      </c>
      <c r="H41" s="285" cm="1">
        <f t="array" ref="H41">INDEX($D$2:$D$25, ROW()-ROW($G$33) + COLUMN()-COLUMN($G$33)+1)</f>
        <v>-2.3654682936004923E-2</v>
      </c>
      <c r="I41" s="285" cm="1">
        <f t="array" ref="I41">INDEX($D$2:$D$25, ROW()-ROW($G$33) + COLUMN()-COLUMN($G$33)+1)</f>
        <v>-0.16439420676116467</v>
      </c>
      <c r="J41" s="285" cm="1">
        <f t="array" ref="J41">INDEX($D$2:$D$25, ROW()-ROW($G$33) + COLUMN()-COLUMN($G$33)+1)</f>
        <v>-0.23227562074778499</v>
      </c>
      <c r="K41" s="285" cm="1">
        <f t="array" ref="K41">INDEX($D$2:$D$25, ROW()-ROW($G$33) + COLUMN()-COLUMN($G$33)+1)</f>
        <v>-0.19498850236411205</v>
      </c>
      <c r="L41" s="285" cm="1">
        <f t="array" ref="L41">INDEX($D$2:$D$25, ROW()-ROW($G$33) + COLUMN()-COLUMN($G$33)+1)</f>
        <v>-4.4559229278070697E-2</v>
      </c>
      <c r="M41" s="285" cm="1">
        <f t="array" ref="M41">INDEX($D$2:$D$25, ROW()-ROW($G$33) + COLUMN()-COLUMN($G$33)+1)</f>
        <v>0.10321748548243581</v>
      </c>
      <c r="N41" s="285" cm="1">
        <f t="array" ref="N41">INDEX($D$2:$D$25, ROW()-ROW($G$33) + COLUMN()-COLUMN($G$33)+1)</f>
        <v>0.22213405380300993</v>
      </c>
      <c r="O41" s="285" cm="1">
        <f t="array" ref="O41">INDEX($D$2:$D$25, ROW()-ROW($G$33) + COLUMN()-COLUMN($G$33)+1)</f>
        <v>0.3200749800819026</v>
      </c>
      <c r="P41" s="285" cm="1">
        <f t="array" ref="P41">INDEX($D$2:$D$25, ROW()-ROW($G$33) + COLUMN()-COLUMN($G$33)+1)</f>
        <v>0.42185676979323672</v>
      </c>
      <c r="Q41" s="285" cm="1">
        <f t="array" ref="Q41">INDEX($D$2:$D$25, ROW()-ROW($G$33) + COLUMN()-COLUMN($G$33)+1)</f>
        <v>0.50833670054933167</v>
      </c>
      <c r="R41" s="285" cm="1">
        <f t="array" ref="R41">INDEX($D$2:$D$25, ROW()-ROW($G$33) + COLUMN()-COLUMN($G$33)+1)</f>
        <v>0.50544548102013864</v>
      </c>
      <c r="T41" s="283">
        <v>0</v>
      </c>
      <c r="U41" s="283">
        <v>0</v>
      </c>
      <c r="V41" s="283">
        <v>0</v>
      </c>
      <c r="W41" s="283">
        <v>0</v>
      </c>
      <c r="X41" s="283">
        <v>0</v>
      </c>
      <c r="Y41" s="283">
        <v>0</v>
      </c>
      <c r="Z41" s="283">
        <v>0</v>
      </c>
      <c r="AA41" s="283">
        <v>0</v>
      </c>
      <c r="AB41" s="284">
        <v>0.58098862158702258</v>
      </c>
      <c r="AC41" s="283">
        <v>0</v>
      </c>
      <c r="AD41" s="283">
        <v>0</v>
      </c>
      <c r="AE41" s="283">
        <v>0</v>
      </c>
      <c r="AF41" s="283">
        <v>0</v>
      </c>
    </row>
    <row r="42" spans="4:32" x14ac:dyDescent="0.3">
      <c r="D42" s="287">
        <v>-0.42597910644508374</v>
      </c>
      <c r="F42" s="286" cm="1">
        <f t="array" ref="F42">INDEX($D$2:$D$25, ROW()-ROW($F$33)+$K$1+1)</f>
        <v>0.19281585846169647</v>
      </c>
      <c r="G42" s="285" cm="1">
        <f t="array" ref="G42">INDEX($D$2:$D$25, ROW()-ROW($G$33) + COLUMN()-COLUMN($G$33)+1)</f>
        <v>-2.3654682936004923E-2</v>
      </c>
      <c r="H42" s="285" cm="1">
        <f t="array" ref="H42">INDEX($D$2:$D$25, ROW()-ROW($G$33) + COLUMN()-COLUMN($G$33)+1)</f>
        <v>-0.16439420676116467</v>
      </c>
      <c r="I42" s="285" cm="1">
        <f t="array" ref="I42">INDEX($D$2:$D$25, ROW()-ROW($G$33) + COLUMN()-COLUMN($G$33)+1)</f>
        <v>-0.23227562074778499</v>
      </c>
      <c r="J42" s="285" cm="1">
        <f t="array" ref="J42">INDEX($D$2:$D$25, ROW()-ROW($G$33) + COLUMN()-COLUMN($G$33)+1)</f>
        <v>-0.19498850236411205</v>
      </c>
      <c r="K42" s="285" cm="1">
        <f t="array" ref="K42">INDEX($D$2:$D$25, ROW()-ROW($G$33) + COLUMN()-COLUMN($G$33)+1)</f>
        <v>-4.4559229278070697E-2</v>
      </c>
      <c r="L42" s="285" cm="1">
        <f t="array" ref="L42">INDEX($D$2:$D$25, ROW()-ROW($G$33) + COLUMN()-COLUMN($G$33)+1)</f>
        <v>0.10321748548243581</v>
      </c>
      <c r="M42" s="285" cm="1">
        <f t="array" ref="M42">INDEX($D$2:$D$25, ROW()-ROW($G$33) + COLUMN()-COLUMN($G$33)+1)</f>
        <v>0.22213405380300993</v>
      </c>
      <c r="N42" s="285" cm="1">
        <f t="array" ref="N42">INDEX($D$2:$D$25, ROW()-ROW($G$33) + COLUMN()-COLUMN($G$33)+1)</f>
        <v>0.3200749800819026</v>
      </c>
      <c r="O42" s="285" cm="1">
        <f t="array" ref="O42">INDEX($D$2:$D$25, ROW()-ROW($G$33) + COLUMN()-COLUMN($G$33)+1)</f>
        <v>0.42185676979323672</v>
      </c>
      <c r="P42" s="285" cm="1">
        <f t="array" ref="P42">INDEX($D$2:$D$25, ROW()-ROW($G$33) + COLUMN()-COLUMN($G$33)+1)</f>
        <v>0.50833670054933167</v>
      </c>
      <c r="Q42" s="285" cm="1">
        <f t="array" ref="Q42">INDEX($D$2:$D$25, ROW()-ROW($G$33) + COLUMN()-COLUMN($G$33)+1)</f>
        <v>0.50544548102013864</v>
      </c>
      <c r="R42" s="285" cm="1">
        <f t="array" ref="R42">INDEX($D$2:$D$25, ROW()-ROW($G$33) + COLUMN()-COLUMN($G$33)+1)</f>
        <v>0.39113290805072887</v>
      </c>
      <c r="T42" s="283">
        <v>0</v>
      </c>
      <c r="U42" s="283">
        <v>0</v>
      </c>
      <c r="V42" s="283">
        <v>0</v>
      </c>
      <c r="W42" s="283">
        <v>0</v>
      </c>
      <c r="X42" s="283">
        <v>0</v>
      </c>
      <c r="Y42" s="283">
        <v>0</v>
      </c>
      <c r="Z42" s="283">
        <v>0</v>
      </c>
      <c r="AA42" s="283">
        <v>0</v>
      </c>
      <c r="AB42" s="283">
        <v>0</v>
      </c>
      <c r="AC42" s="284">
        <v>0.45502604223983856</v>
      </c>
      <c r="AD42" s="283">
        <v>0</v>
      </c>
      <c r="AE42" s="283">
        <v>0</v>
      </c>
      <c r="AF42" s="283">
        <v>0</v>
      </c>
    </row>
    <row r="43" spans="4:32" x14ac:dyDescent="0.3">
      <c r="D43" s="287">
        <v>8.1239027366791561E-2</v>
      </c>
      <c r="F43" s="286" cm="1">
        <f t="array" ref="F43">INDEX($D$2:$D$25, ROW()-ROW($F$33)+$K$1+1)</f>
        <v>-1.8679982362733022E-3</v>
      </c>
      <c r="G43" s="285" cm="1">
        <f t="array" ref="G43">INDEX($D$2:$D$25, ROW()-ROW($G$33) + COLUMN()-COLUMN($G$33)+1)</f>
        <v>-0.16439420676116467</v>
      </c>
      <c r="H43" s="285" cm="1">
        <f t="array" ref="H43">INDEX($D$2:$D$25, ROW()-ROW($G$33) + COLUMN()-COLUMN($G$33)+1)</f>
        <v>-0.23227562074778499</v>
      </c>
      <c r="I43" s="285" cm="1">
        <f t="array" ref="I43">INDEX($D$2:$D$25, ROW()-ROW($G$33) + COLUMN()-COLUMN($G$33)+1)</f>
        <v>-0.19498850236411205</v>
      </c>
      <c r="J43" s="285" cm="1">
        <f t="array" ref="J43">INDEX($D$2:$D$25, ROW()-ROW($G$33) + COLUMN()-COLUMN($G$33)+1)</f>
        <v>-4.4559229278070697E-2</v>
      </c>
      <c r="K43" s="285" cm="1">
        <f t="array" ref="K43">INDEX($D$2:$D$25, ROW()-ROW($G$33) + COLUMN()-COLUMN($G$33)+1)</f>
        <v>0.10321748548243581</v>
      </c>
      <c r="L43" s="285" cm="1">
        <f t="array" ref="L43">INDEX($D$2:$D$25, ROW()-ROW($G$33) + COLUMN()-COLUMN($G$33)+1)</f>
        <v>0.22213405380300993</v>
      </c>
      <c r="M43" s="285" cm="1">
        <f t="array" ref="M43">INDEX($D$2:$D$25, ROW()-ROW($G$33) + COLUMN()-COLUMN($G$33)+1)</f>
        <v>0.3200749800819026</v>
      </c>
      <c r="N43" s="285" cm="1">
        <f t="array" ref="N43">INDEX($D$2:$D$25, ROW()-ROW($G$33) + COLUMN()-COLUMN($G$33)+1)</f>
        <v>0.42185676979323672</v>
      </c>
      <c r="O43" s="285" cm="1">
        <f t="array" ref="O43">INDEX($D$2:$D$25, ROW()-ROW($G$33) + COLUMN()-COLUMN($G$33)+1)</f>
        <v>0.50833670054933167</v>
      </c>
      <c r="P43" s="285" cm="1">
        <f t="array" ref="P43">INDEX($D$2:$D$25, ROW()-ROW($G$33) + COLUMN()-COLUMN($G$33)+1)</f>
        <v>0.50544548102013864</v>
      </c>
      <c r="Q43" s="285" cm="1">
        <f t="array" ref="Q43">INDEX($D$2:$D$25, ROW()-ROW($G$33) + COLUMN()-COLUMN($G$33)+1)</f>
        <v>0.39113290805072887</v>
      </c>
      <c r="R43" s="285" cm="1">
        <f t="array" ref="R43">INDEX($D$2:$D$25, ROW()-ROW($G$33) + COLUMN()-COLUMN($G$33)+1)</f>
        <v>0.19281585846169647</v>
      </c>
      <c r="T43" s="283">
        <v>0</v>
      </c>
      <c r="U43" s="283">
        <v>0</v>
      </c>
      <c r="V43" s="283">
        <v>0</v>
      </c>
      <c r="W43" s="283">
        <v>0</v>
      </c>
      <c r="X43" s="283">
        <v>0</v>
      </c>
      <c r="Y43" s="283">
        <v>0</v>
      </c>
      <c r="Z43" s="283">
        <v>0</v>
      </c>
      <c r="AA43" s="283">
        <v>0</v>
      </c>
      <c r="AB43" s="283">
        <v>0</v>
      </c>
      <c r="AC43" s="283">
        <v>0</v>
      </c>
      <c r="AD43" s="284">
        <v>0.35177254669005742</v>
      </c>
      <c r="AE43" s="283">
        <v>0</v>
      </c>
      <c r="AF43" s="283">
        <v>0</v>
      </c>
    </row>
    <row r="44" spans="4:32" x14ac:dyDescent="0.3">
      <c r="D44" s="287">
        <v>1.1778574751588167</v>
      </c>
      <c r="F44" s="286" cm="1">
        <f t="array" ref="F44">INDEX($D$2:$D$25, ROW()-ROW($F$33)+$K$1+1)</f>
        <v>-0.14238819822032237</v>
      </c>
      <c r="G44" s="285" cm="1">
        <f t="array" ref="G44">INDEX($D$2:$D$25, ROW()-ROW($G$33) + COLUMN()-COLUMN($G$33)+1)</f>
        <v>-0.23227562074778499</v>
      </c>
      <c r="H44" s="285" cm="1">
        <f t="array" ref="H44">INDEX($D$2:$D$25, ROW()-ROW($G$33) + COLUMN()-COLUMN($G$33)+1)</f>
        <v>-0.19498850236411205</v>
      </c>
      <c r="I44" s="285" cm="1">
        <f t="array" ref="I44">INDEX($D$2:$D$25, ROW()-ROW($G$33) + COLUMN()-COLUMN($G$33)+1)</f>
        <v>-4.4559229278070697E-2</v>
      </c>
      <c r="J44" s="285" cm="1">
        <f t="array" ref="J44">INDEX($D$2:$D$25, ROW()-ROW($G$33) + COLUMN()-COLUMN($G$33)+1)</f>
        <v>0.10321748548243581</v>
      </c>
      <c r="K44" s="285" cm="1">
        <f t="array" ref="K44">INDEX($D$2:$D$25, ROW()-ROW($G$33) + COLUMN()-COLUMN($G$33)+1)</f>
        <v>0.22213405380300993</v>
      </c>
      <c r="L44" s="285" cm="1">
        <f t="array" ref="L44">INDEX($D$2:$D$25, ROW()-ROW($G$33) + COLUMN()-COLUMN($G$33)+1)</f>
        <v>0.3200749800819026</v>
      </c>
      <c r="M44" s="285" cm="1">
        <f t="array" ref="M44">INDEX($D$2:$D$25, ROW()-ROW($G$33) + COLUMN()-COLUMN($G$33)+1)</f>
        <v>0.42185676979323672</v>
      </c>
      <c r="N44" s="285" cm="1">
        <f t="array" ref="N44">INDEX($D$2:$D$25, ROW()-ROW($G$33) + COLUMN()-COLUMN($G$33)+1)</f>
        <v>0.50833670054933167</v>
      </c>
      <c r="O44" s="285" cm="1">
        <f t="array" ref="O44">INDEX($D$2:$D$25, ROW()-ROW($G$33) + COLUMN()-COLUMN($G$33)+1)</f>
        <v>0.50544548102013864</v>
      </c>
      <c r="P44" s="285" cm="1">
        <f t="array" ref="P44">INDEX($D$2:$D$25, ROW()-ROW($G$33) + COLUMN()-COLUMN($G$33)+1)</f>
        <v>0.39113290805072887</v>
      </c>
      <c r="Q44" s="285" cm="1">
        <f t="array" ref="Q44">INDEX($D$2:$D$25, ROW()-ROW($G$33) + COLUMN()-COLUMN($G$33)+1)</f>
        <v>0.19281585846169647</v>
      </c>
      <c r="R44" s="285" cm="1">
        <f t="array" ref="R44">INDEX($D$2:$D$25, ROW()-ROW($G$33) + COLUMN()-COLUMN($G$33)+1)</f>
        <v>-1.8679982362733022E-3</v>
      </c>
      <c r="T44" s="283">
        <v>0</v>
      </c>
      <c r="U44" s="283">
        <v>0</v>
      </c>
      <c r="V44" s="283">
        <v>0</v>
      </c>
      <c r="W44" s="283">
        <v>0</v>
      </c>
      <c r="X44" s="283">
        <v>0</v>
      </c>
      <c r="Y44" s="283">
        <v>0</v>
      </c>
      <c r="Z44" s="283">
        <v>0</v>
      </c>
      <c r="AA44" s="283">
        <v>0</v>
      </c>
      <c r="AB44" s="283">
        <v>0</v>
      </c>
      <c r="AC44" s="283">
        <v>0</v>
      </c>
      <c r="AD44" s="283">
        <v>0</v>
      </c>
      <c r="AE44" s="284">
        <v>5.6175389139515933E-2</v>
      </c>
      <c r="AF44" s="283">
        <v>0</v>
      </c>
    </row>
    <row r="45" spans="4:32" x14ac:dyDescent="0.3">
      <c r="D45" t="str">
        <f ca="1">_xlfn.FORMULATEXT(D33)</f>
        <v>=MMULT(MINVERSE(MMULT(TRANSPOSE(G33:R44),G33:R44)),MMULT(TRANSPOSE(G33:R44),F33:F44))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147A2-9A57-41FE-9DCA-3807FBEA9503}">
  <dimension ref="A1:X38"/>
  <sheetViews>
    <sheetView workbookViewId="0">
      <selection activeCell="E1" sqref="E1"/>
    </sheetView>
  </sheetViews>
  <sheetFormatPr defaultRowHeight="14.4" x14ac:dyDescent="0.3"/>
  <cols>
    <col min="17" max="17" width="9.109375" customWidth="1"/>
  </cols>
  <sheetData>
    <row r="1" spans="1:14" ht="16.2" x14ac:dyDescent="0.3">
      <c r="A1" s="8" t="s">
        <v>513</v>
      </c>
      <c r="B1" s="8" t="s">
        <v>453</v>
      </c>
      <c r="C1" s="8" t="s">
        <v>512</v>
      </c>
      <c r="D1" s="8" t="s">
        <v>511</v>
      </c>
      <c r="E1" s="8"/>
      <c r="F1" s="8" t="s">
        <v>510</v>
      </c>
      <c r="G1" s="8"/>
      <c r="H1" s="8"/>
    </row>
    <row r="2" spans="1:14" x14ac:dyDescent="0.3">
      <c r="A2" s="8">
        <v>1</v>
      </c>
      <c r="B2" s="8">
        <v>4</v>
      </c>
      <c r="C2" s="8">
        <v>1</v>
      </c>
      <c r="D2" s="8">
        <v>2</v>
      </c>
      <c r="E2" s="8"/>
      <c r="F2" s="8" cm="1">
        <f t="array" ref="F2:H4">MMULT(TRANSPOSE(B8:D10),B8:D10)</f>
        <v>3</v>
      </c>
      <c r="G2" s="8">
        <v>6</v>
      </c>
      <c r="H2" s="8">
        <v>7</v>
      </c>
    </row>
    <row r="3" spans="1:14" x14ac:dyDescent="0.3">
      <c r="A3" s="8">
        <v>2</v>
      </c>
      <c r="B3" s="8">
        <v>5</v>
      </c>
      <c r="C3" s="8">
        <v>2</v>
      </c>
      <c r="D3" s="8">
        <v>1</v>
      </c>
      <c r="E3" s="8"/>
      <c r="F3" s="8">
        <v>6</v>
      </c>
      <c r="G3" s="8">
        <v>14</v>
      </c>
      <c r="H3" s="8">
        <v>16</v>
      </c>
    </row>
    <row r="4" spans="1:14" x14ac:dyDescent="0.3">
      <c r="A4" s="8">
        <v>3</v>
      </c>
      <c r="B4" s="8">
        <v>9</v>
      </c>
      <c r="C4" s="8">
        <v>3</v>
      </c>
      <c r="D4" s="8">
        <v>4</v>
      </c>
      <c r="E4" s="8"/>
      <c r="F4" s="8">
        <v>7</v>
      </c>
      <c r="G4" s="8">
        <v>16</v>
      </c>
      <c r="H4" s="8">
        <v>21</v>
      </c>
    </row>
    <row r="5" spans="1:14" x14ac:dyDescent="0.3">
      <c r="A5" s="8"/>
      <c r="B5" s="8"/>
      <c r="C5" s="8"/>
      <c r="D5" s="8"/>
      <c r="E5" s="8"/>
      <c r="F5" s="112" t="str">
        <f ca="1">_xlfn.FORMULATEXT(F2)</f>
        <v>=MMULT(TRANSPOSE(B8:D10),B8:D10)</v>
      </c>
      <c r="G5" s="8"/>
      <c r="H5" s="8"/>
      <c r="L5" t="s">
        <v>509</v>
      </c>
    </row>
    <row r="6" spans="1:14" x14ac:dyDescent="0.3">
      <c r="A6" s="8"/>
      <c r="B6" s="8"/>
      <c r="C6" s="8"/>
      <c r="D6" s="8"/>
      <c r="E6" s="8"/>
      <c r="F6" s="8"/>
      <c r="G6" s="8"/>
      <c r="H6" s="8"/>
      <c r="L6" t="s">
        <v>508</v>
      </c>
    </row>
    <row r="7" spans="1:14" ht="16.2" x14ac:dyDescent="0.3">
      <c r="A7" s="8" t="s">
        <v>453</v>
      </c>
      <c r="B7" s="8" t="s">
        <v>2</v>
      </c>
      <c r="C7" s="8"/>
      <c r="D7" s="8"/>
      <c r="E7" s="8"/>
      <c r="F7" s="8" t="s">
        <v>507</v>
      </c>
      <c r="G7" s="8"/>
      <c r="H7" s="8"/>
      <c r="L7" cm="1">
        <f t="array" ref="L7:N9">MMULT(MINVERSE(MMULT(TRANSPOSE(B8:D10),B8:D10)),MMULT(TRANSPOSE(B8:D10),B8:D10))</f>
        <v>1.0000000000000018</v>
      </c>
      <c r="M7">
        <v>2.2204460492503131E-15</v>
      </c>
      <c r="N7">
        <v>3.5527136788005009E-15</v>
      </c>
    </row>
    <row r="8" spans="1:14" x14ac:dyDescent="0.3">
      <c r="A8" s="8">
        <v>4</v>
      </c>
      <c r="B8" s="8">
        <v>1</v>
      </c>
      <c r="C8" s="8">
        <v>1</v>
      </c>
      <c r="D8" s="8">
        <v>2</v>
      </c>
      <c r="E8" s="8"/>
      <c r="F8" s="8" cm="1">
        <f t="array" ref="F8:F10">MMULT(TRANSPOSE(B8:D10),A8:A10)</f>
        <v>18</v>
      </c>
      <c r="G8" s="8"/>
      <c r="H8" s="8"/>
      <c r="L8">
        <v>-4.4408920985006262E-16</v>
      </c>
      <c r="M8">
        <v>0.99999999999999911</v>
      </c>
      <c r="N8">
        <v>-8.8817841970012523E-16</v>
      </c>
    </row>
    <row r="9" spans="1:14" x14ac:dyDescent="0.3">
      <c r="A9" s="8">
        <v>5</v>
      </c>
      <c r="B9" s="8">
        <v>1</v>
      </c>
      <c r="C9" s="8">
        <v>2</v>
      </c>
      <c r="D9" s="8">
        <v>1</v>
      </c>
      <c r="E9" s="8"/>
      <c r="F9" s="8">
        <v>41</v>
      </c>
      <c r="G9" s="8"/>
      <c r="H9" s="8"/>
      <c r="L9">
        <v>0</v>
      </c>
      <c r="M9">
        <v>0</v>
      </c>
      <c r="N9">
        <v>1</v>
      </c>
    </row>
    <row r="10" spans="1:14" x14ac:dyDescent="0.3">
      <c r="A10" s="8">
        <v>9</v>
      </c>
      <c r="B10" s="8">
        <v>1</v>
      </c>
      <c r="C10" s="8">
        <v>3</v>
      </c>
      <c r="D10" s="8">
        <v>4</v>
      </c>
      <c r="E10" s="8"/>
      <c r="F10" s="8">
        <v>49</v>
      </c>
      <c r="G10" s="8"/>
      <c r="H10" s="8"/>
      <c r="L10" t="str">
        <f ca="1">_xlfn.FORMULATEXT(L7)</f>
        <v>=MMULT(MINVERSE(MMULT(TRANSPOSE(B8:D10),B8:D10)),MMULT(TRANSPOSE(B8:D10),B8:D10))</v>
      </c>
    </row>
    <row r="11" spans="1:14" x14ac:dyDescent="0.3">
      <c r="B11" s="8"/>
      <c r="C11" s="8"/>
      <c r="D11" s="8"/>
      <c r="E11" s="8"/>
      <c r="F11" s="112" t="str">
        <f ca="1">_xlfn.FORMULATEXT(F8)</f>
        <v>=MMULT(TRANSPOSE(B8:D10),A8:A10)</v>
      </c>
      <c r="G11" s="8"/>
      <c r="H11" s="8"/>
      <c r="L11" t="s">
        <v>506</v>
      </c>
    </row>
    <row r="12" spans="1:14" ht="15" customHeight="1" x14ac:dyDescent="0.3">
      <c r="B12" s="8"/>
      <c r="C12" s="8"/>
      <c r="D12" s="8"/>
      <c r="E12" s="8"/>
      <c r="F12" s="8"/>
      <c r="G12" s="8"/>
      <c r="H12" s="8"/>
    </row>
    <row r="13" spans="1:14" ht="15" customHeight="1" x14ac:dyDescent="0.3">
      <c r="A13" s="300" t="s">
        <v>505</v>
      </c>
      <c r="C13" s="8"/>
      <c r="D13" s="301" t="s">
        <v>277</v>
      </c>
      <c r="E13" s="8"/>
      <c r="H13" s="8"/>
    </row>
    <row r="14" spans="1:14" ht="18" customHeight="1" x14ac:dyDescent="0.3">
      <c r="A14" s="8" cm="1">
        <f t="array" ref="A14:A16">MMULT(B8:D10,D14:D16)</f>
        <v>4.0000000000000053</v>
      </c>
      <c r="B14" s="8"/>
      <c r="C14" s="8"/>
      <c r="D14" s="302" cm="1">
        <f t="array" ref="D14:D16">MMULT(MINVERSE(MMULT(TRANSPOSE(B8:D10),B8:D10)),MMULT(TRANSPOSE(B8:D10),A8:A10))</f>
        <v>0.75000000000000533</v>
      </c>
      <c r="E14" s="8"/>
      <c r="H14" s="8"/>
    </row>
    <row r="15" spans="1:14" x14ac:dyDescent="0.3">
      <c r="A15" s="8">
        <v>5.0000000000000053</v>
      </c>
      <c r="B15" s="8"/>
      <c r="C15" s="8"/>
      <c r="D15" s="8">
        <v>1.75</v>
      </c>
      <c r="E15" s="8"/>
      <c r="H15" s="8"/>
    </row>
    <row r="16" spans="1:14" x14ac:dyDescent="0.3">
      <c r="A16" s="8">
        <v>9.0000000000000053</v>
      </c>
      <c r="B16" s="8"/>
      <c r="C16" s="8"/>
      <c r="D16" s="8">
        <v>0.75</v>
      </c>
      <c r="E16" s="8"/>
      <c r="H16" s="8"/>
    </row>
    <row r="17" spans="1:24" x14ac:dyDescent="0.3">
      <c r="A17" t="str">
        <f ca="1">_xlfn.FORMULATEXT(A14)</f>
        <v>=MMULT(B8:D10,D14:D16)</v>
      </c>
      <c r="D17" t="str">
        <f ca="1">_xlfn.FORMULATEXT(D14)</f>
        <v>=MMULT(MINVERSE(MMULT(TRANSPOSE(B8:D10),B8:D10)),MMULT(TRANSPOSE(B8:D10),A8:A10))</v>
      </c>
    </row>
    <row r="20" spans="1:24" x14ac:dyDescent="0.3">
      <c r="F20" t="s">
        <v>504</v>
      </c>
      <c r="R20" t="s">
        <v>503</v>
      </c>
    </row>
    <row r="21" spans="1:24" x14ac:dyDescent="0.3">
      <c r="C21" t="s">
        <v>502</v>
      </c>
      <c r="F21" t="s">
        <v>91</v>
      </c>
      <c r="J21" t="s">
        <v>501</v>
      </c>
      <c r="R21" t="s">
        <v>456</v>
      </c>
      <c r="V21" t="s">
        <v>15</v>
      </c>
    </row>
    <row r="22" spans="1:24" x14ac:dyDescent="0.3">
      <c r="F22" cm="1">
        <f t="array" ref="F22:H24">[2]!QRFactorQ(B8:D10)</f>
        <v>-0.57735026918962573</v>
      </c>
      <c r="G22">
        <v>0.70710678118654757</v>
      </c>
      <c r="H22">
        <v>-0.40824829046386302</v>
      </c>
      <c r="J22" cm="1">
        <f t="array" ref="J22:L24">[2]!QRFactorR(B8:D10)</f>
        <v>-1.7320508075688772</v>
      </c>
      <c r="K22">
        <v>-3.4641016151377553</v>
      </c>
      <c r="L22">
        <v>-4.0414518843273806</v>
      </c>
      <c r="R22" cm="1">
        <f t="array" ref="R22:T24">[2]!SVD_U(B8:D10)</f>
        <v>0.3929203506524217</v>
      </c>
      <c r="S22">
        <v>0.29115028978043056</v>
      </c>
      <c r="T22">
        <v>0.87226435603201646</v>
      </c>
      <c r="V22" cm="1">
        <f t="array" ref="V22:X24">[2]!SVD_V(B8:D10)</f>
        <v>0.2658372539742882</v>
      </c>
      <c r="W22">
        <v>-0.32651259472508459</v>
      </c>
      <c r="X22">
        <v>0.90703918321387933</v>
      </c>
    </row>
    <row r="23" spans="1:24" x14ac:dyDescent="0.3">
      <c r="F23">
        <v>-0.57735026918962584</v>
      </c>
      <c r="G23">
        <v>2.7755575615628914E-17</v>
      </c>
      <c r="H23">
        <v>0.81649658092772603</v>
      </c>
      <c r="J23">
        <v>0</v>
      </c>
      <c r="K23">
        <v>-1.4142135623730947</v>
      </c>
      <c r="L23">
        <v>-1.4142135623730945</v>
      </c>
      <c r="R23">
        <v>0.36914170435751514</v>
      </c>
      <c r="S23">
        <v>-0.9187114057421697</v>
      </c>
      <c r="T23">
        <v>0.14037006469783858</v>
      </c>
      <c r="V23">
        <v>0.60612657531835912</v>
      </c>
      <c r="W23">
        <v>-0.67503435284767066</v>
      </c>
      <c r="X23">
        <v>-0.42064141161845015</v>
      </c>
    </row>
    <row r="24" spans="1:24" x14ac:dyDescent="0.3">
      <c r="F24">
        <v>-0.57735026918962584</v>
      </c>
      <c r="G24">
        <v>-0.70710678118654746</v>
      </c>
      <c r="H24">
        <v>-0.40824829046386302</v>
      </c>
      <c r="J24">
        <v>0</v>
      </c>
      <c r="K24">
        <v>0</v>
      </c>
      <c r="L24">
        <v>-1.6329931618554521</v>
      </c>
      <c r="R24">
        <v>0.84222799772223611</v>
      </c>
      <c r="S24">
        <v>0.26683489599379184</v>
      </c>
      <c r="T24">
        <v>-0.46845612188632585</v>
      </c>
      <c r="V24">
        <v>0.74962732680462396</v>
      </c>
      <c r="W24">
        <v>0.66160271157350836</v>
      </c>
      <c r="X24">
        <v>1.8458682139690413E-2</v>
      </c>
    </row>
    <row r="25" spans="1:24" x14ac:dyDescent="0.3">
      <c r="F25" t="str">
        <f ca="1">_xlfn.FORMULATEXT(F22)</f>
        <v>=QRFactorQ(B8:D10)</v>
      </c>
      <c r="J25" t="str">
        <f ca="1">_xlfn.FORMULATEXT(J22)</f>
        <v>=QRFactorR(B8:D10)</v>
      </c>
      <c r="R25" t="str">
        <f ca="1">_xlfn.FORMULATEXT(R22)</f>
        <v>=SVD_U(B8:D10)</v>
      </c>
      <c r="V25" t="str">
        <f ca="1">_xlfn.FORMULATEXT(V22)</f>
        <v>=SVD_V(B8:D10)</v>
      </c>
    </row>
    <row r="27" spans="1:24" x14ac:dyDescent="0.3">
      <c r="F27" s="12" t="s">
        <v>277</v>
      </c>
      <c r="V27" s="12" t="s">
        <v>464</v>
      </c>
    </row>
    <row r="28" spans="1:24" x14ac:dyDescent="0.3">
      <c r="F28" cm="1">
        <f t="array" ref="F28:F30">MMULT(MINVERSE(J22:L24),MMULT(TRANSPOSE(F22:H24),A8:A10))</f>
        <v>0.74999999999999811</v>
      </c>
      <c r="R28" s="301" t="s">
        <v>277</v>
      </c>
      <c r="V28" cm="1">
        <f t="array" ref="V28:X30">[2]!SVD_D(B8:D10)</f>
        <v>6.0348579017722628</v>
      </c>
      <c r="W28">
        <v>0</v>
      </c>
      <c r="X28">
        <v>0</v>
      </c>
    </row>
    <row r="29" spans="1:24" x14ac:dyDescent="0.3">
      <c r="F29">
        <v>1.7500000000000007</v>
      </c>
      <c r="R29" s="8" cm="1">
        <f t="array" ref="R29:R31">MMULT(MMULT(V22:X24,MINVERSE(V28:X30)),MMULT(TRANSPOSE(R22:T24),A8:A10))</f>
        <v>0.75000000000000022</v>
      </c>
      <c r="V29">
        <v>0</v>
      </c>
      <c r="W29">
        <v>1.104785009202079</v>
      </c>
      <c r="X29">
        <v>0</v>
      </c>
    </row>
    <row r="30" spans="1:24" x14ac:dyDescent="0.3">
      <c r="F30">
        <v>0.74999999999999989</v>
      </c>
      <c r="R30" s="8">
        <v>1.7499999999999984</v>
      </c>
      <c r="V30">
        <v>0</v>
      </c>
      <c r="W30">
        <v>0</v>
      </c>
      <c r="X30">
        <v>0.59995015531232254</v>
      </c>
    </row>
    <row r="31" spans="1:24" x14ac:dyDescent="0.3">
      <c r="F31" t="str">
        <f ca="1">_xlfn.FORMULATEXT(F28)</f>
        <v>=MMULT(MINVERSE(J22:L24),MMULT(TRANSPOSE(F22:H24),A8:A10))</v>
      </c>
      <c r="R31" s="8">
        <v>0.74999999999999911</v>
      </c>
      <c r="V31" t="str">
        <f ca="1">_xlfn.FORMULATEXT(V28)</f>
        <v>=SVD_D(B8:D10)</v>
      </c>
    </row>
    <row r="32" spans="1:24" x14ac:dyDescent="0.3">
      <c r="R32" t="str">
        <f ca="1">_xlfn.FORMULATEXT(R29)</f>
        <v>=MMULT(MMULT(V22:X24,MINVERSE(V28:X30)),MMULT(TRANSPOSE(R22:T24),A8:A10))</v>
      </c>
    </row>
    <row r="34" spans="16:19" x14ac:dyDescent="0.3">
      <c r="P34" t="s">
        <v>500</v>
      </c>
      <c r="S34" s="300" t="s">
        <v>499</v>
      </c>
    </row>
    <row r="35" spans="16:19" x14ac:dyDescent="0.3">
      <c r="P35" t="s">
        <v>498</v>
      </c>
      <c r="S35" s="8" cm="1">
        <f t="array" ref="S35:S37">MMULT(R22:T24,MMULT(TRANSPOSE(R22:T24),A8:A10))</f>
        <v>3.9999999999999973</v>
      </c>
    </row>
    <row r="36" spans="16:19" x14ac:dyDescent="0.3">
      <c r="S36" s="8">
        <v>4.9999999999999973</v>
      </c>
    </row>
    <row r="37" spans="16:19" x14ac:dyDescent="0.3">
      <c r="S37" s="8">
        <v>9.0000000000000036</v>
      </c>
    </row>
    <row r="38" spans="16:19" x14ac:dyDescent="0.3">
      <c r="S38" t="str">
        <f ca="1">_xlfn.FORMULATEXT(S35)</f>
        <v>=MMULT(R22:T24,MMULT(TRANSPOSE(R22:T24),A8:A10))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356AA-3281-4CB3-B711-67D4F2E4017D}">
  <dimension ref="A1:R35"/>
  <sheetViews>
    <sheetView zoomScale="90" zoomScaleNormal="90" workbookViewId="0">
      <selection activeCell="M36" sqref="M36"/>
    </sheetView>
  </sheetViews>
  <sheetFormatPr defaultRowHeight="14.4" x14ac:dyDescent="0.3"/>
  <sheetData>
    <row r="1" spans="1:18" ht="15.6" x14ac:dyDescent="0.35">
      <c r="A1" s="8" t="s">
        <v>453</v>
      </c>
      <c r="B1" s="8" t="s">
        <v>523</v>
      </c>
      <c r="C1" s="8" t="s">
        <v>522</v>
      </c>
      <c r="D1" s="8" t="s">
        <v>521</v>
      </c>
      <c r="E1" s="8" t="s">
        <v>520</v>
      </c>
      <c r="I1" t="s">
        <v>456</v>
      </c>
    </row>
    <row r="2" spans="1:18" x14ac:dyDescent="0.3">
      <c r="A2" s="8">
        <v>15</v>
      </c>
      <c r="B2" s="8">
        <v>2</v>
      </c>
      <c r="C2" s="8">
        <v>22</v>
      </c>
      <c r="D2" s="8">
        <v>8</v>
      </c>
      <c r="E2" s="8">
        <v>12</v>
      </c>
      <c r="I2" cm="1">
        <f t="array" ref="I2:R11">[2]!SVD_U(C14:G23)</f>
        <v>0.28746855128117521</v>
      </c>
      <c r="J2">
        <v>0.14839919328469842</v>
      </c>
      <c r="K2">
        <v>0.28413798240069355</v>
      </c>
      <c r="L2">
        <v>0.53202937052067156</v>
      </c>
      <c r="M2">
        <v>5.5178062154672247E-2</v>
      </c>
      <c r="N2">
        <v>0.49854109973216509</v>
      </c>
      <c r="O2">
        <v>0.31460549688252359</v>
      </c>
      <c r="P2">
        <v>0.19843383761256664</v>
      </c>
      <c r="Q2">
        <v>4.4932103502620391E-3</v>
      </c>
      <c r="R2">
        <v>0.37628343723130764</v>
      </c>
    </row>
    <row r="3" spans="1:18" x14ac:dyDescent="0.3">
      <c r="A3" s="8">
        <v>18</v>
      </c>
      <c r="B3" s="8">
        <v>5</v>
      </c>
      <c r="C3" s="8">
        <v>32</v>
      </c>
      <c r="D3" s="8">
        <v>7</v>
      </c>
      <c r="E3" s="8">
        <v>13</v>
      </c>
      <c r="I3">
        <v>0.38776012748341404</v>
      </c>
      <c r="J3">
        <v>-0.37464378706829271</v>
      </c>
      <c r="K3">
        <v>-4.5121701154695486E-2</v>
      </c>
      <c r="L3">
        <v>7.7057230921169215E-2</v>
      </c>
      <c r="M3">
        <v>-0.32525337860096842</v>
      </c>
      <c r="N3">
        <v>4.3651064030767912E-2</v>
      </c>
      <c r="O3">
        <v>0.16538934326181545</v>
      </c>
      <c r="P3">
        <v>-0.25153364323223892</v>
      </c>
      <c r="Q3">
        <v>0.6647910521576843</v>
      </c>
      <c r="R3">
        <v>-0.24707327726681064</v>
      </c>
    </row>
    <row r="4" spans="1:18" x14ac:dyDescent="0.3">
      <c r="A4" s="8">
        <v>14</v>
      </c>
      <c r="B4" s="8">
        <v>4</v>
      </c>
      <c r="C4" s="8">
        <v>24</v>
      </c>
      <c r="D4" s="8">
        <v>6</v>
      </c>
      <c r="E4" s="8">
        <v>9</v>
      </c>
      <c r="I4">
        <v>0.2898092426765197</v>
      </c>
      <c r="J4">
        <v>-0.30220790673482484</v>
      </c>
      <c r="K4">
        <v>0.12980585512032683</v>
      </c>
      <c r="L4">
        <v>-0.15904611310422775</v>
      </c>
      <c r="M4">
        <v>0.61474119113437975</v>
      </c>
      <c r="N4">
        <v>0.1355480409418704</v>
      </c>
      <c r="O4">
        <v>-0.35420430502357503</v>
      </c>
      <c r="P4">
        <v>0.44529344910312058</v>
      </c>
      <c r="Q4">
        <v>0.16732106562839613</v>
      </c>
      <c r="R4">
        <v>-0.18577532089559864</v>
      </c>
    </row>
    <row r="5" spans="1:18" x14ac:dyDescent="0.3">
      <c r="A5" s="8">
        <v>16</v>
      </c>
      <c r="B5" s="8">
        <v>3</v>
      </c>
      <c r="C5" s="8">
        <v>18</v>
      </c>
      <c r="D5" s="8">
        <v>9</v>
      </c>
      <c r="E5" s="8">
        <v>10</v>
      </c>
      <c r="I5">
        <v>0.24497526150649543</v>
      </c>
      <c r="J5">
        <v>0.26564143192485423</v>
      </c>
      <c r="K5">
        <v>0.50499543808943781</v>
      </c>
      <c r="L5">
        <v>-0.20765296392798568</v>
      </c>
      <c r="M5">
        <v>0.17793567473765723</v>
      </c>
      <c r="N5">
        <v>-0.62260201855943287</v>
      </c>
      <c r="O5">
        <v>0.30499697212222382</v>
      </c>
      <c r="P5">
        <v>-1.0179205723104698E-2</v>
      </c>
      <c r="Q5">
        <v>0.17558801923405976</v>
      </c>
      <c r="R5">
        <v>0.16741954899458852</v>
      </c>
    </row>
    <row r="6" spans="1:18" x14ac:dyDescent="0.3">
      <c r="A6" s="8">
        <v>19</v>
      </c>
      <c r="B6" s="8">
        <v>6</v>
      </c>
      <c r="C6" s="8">
        <v>24</v>
      </c>
      <c r="D6" s="8">
        <v>7</v>
      </c>
      <c r="E6" s="8">
        <v>12</v>
      </c>
      <c r="I6">
        <v>0.30990002490444207</v>
      </c>
      <c r="J6">
        <v>-8.5806325026201906E-4</v>
      </c>
      <c r="K6">
        <v>-9.9640510729746223E-2</v>
      </c>
      <c r="L6">
        <v>-0.62473668218202716</v>
      </c>
      <c r="M6">
        <v>0.12082148947848001</v>
      </c>
      <c r="N6">
        <v>0.38596730301832122</v>
      </c>
      <c r="O6">
        <v>6.3218327934404184E-2</v>
      </c>
      <c r="P6">
        <v>-0.43024873793032686</v>
      </c>
      <c r="Q6">
        <v>-0.12336093449895302</v>
      </c>
      <c r="R6">
        <v>0.36856483811213736</v>
      </c>
    </row>
    <row r="7" spans="1:18" x14ac:dyDescent="0.3">
      <c r="A7" s="8">
        <v>20</v>
      </c>
      <c r="B7" s="8">
        <v>5</v>
      </c>
      <c r="C7" s="8">
        <v>31</v>
      </c>
      <c r="D7" s="8">
        <v>5</v>
      </c>
      <c r="E7" s="8">
        <v>14</v>
      </c>
      <c r="I7">
        <v>0.37771756085312774</v>
      </c>
      <c r="J7">
        <v>-0.33791070930495798</v>
      </c>
      <c r="K7">
        <v>-0.44340726152980986</v>
      </c>
      <c r="L7">
        <v>0.30650484757937252</v>
      </c>
      <c r="M7">
        <v>7.365103098842847E-2</v>
      </c>
      <c r="N7">
        <v>-0.4411054891634526</v>
      </c>
      <c r="O7">
        <v>-0.11208210418374145</v>
      </c>
      <c r="P7">
        <v>-2.5884928038699857E-2</v>
      </c>
      <c r="Q7">
        <v>-0.23349474322636238</v>
      </c>
      <c r="R7">
        <v>0.42993002449850803</v>
      </c>
    </row>
    <row r="8" spans="1:18" x14ac:dyDescent="0.3">
      <c r="A8" s="8">
        <v>22</v>
      </c>
      <c r="B8" s="8">
        <v>4</v>
      </c>
      <c r="C8" s="8">
        <v>28</v>
      </c>
      <c r="D8" s="8">
        <v>8</v>
      </c>
      <c r="E8" s="8">
        <v>11</v>
      </c>
      <c r="I8">
        <v>0.34204108946140604</v>
      </c>
      <c r="J8">
        <v>-0.26445773984451926</v>
      </c>
      <c r="K8">
        <v>0.30136464234961452</v>
      </c>
      <c r="L8">
        <v>-6.0347973186150039E-3</v>
      </c>
      <c r="M8">
        <v>-0.1739208212375625</v>
      </c>
      <c r="N8">
        <v>0</v>
      </c>
      <c r="O8">
        <v>0.18925026365503569</v>
      </c>
      <c r="P8">
        <v>-5.2623560504638157E-2</v>
      </c>
      <c r="Q8">
        <v>-0.65533766964479068</v>
      </c>
      <c r="R8">
        <v>-0.47319352889751332</v>
      </c>
    </row>
    <row r="9" spans="1:18" x14ac:dyDescent="0.3">
      <c r="A9" s="8">
        <v>18</v>
      </c>
      <c r="B9" s="8">
        <v>4</v>
      </c>
      <c r="C9" s="8">
        <v>18</v>
      </c>
      <c r="D9" s="8">
        <v>6</v>
      </c>
      <c r="E9" s="8">
        <v>15</v>
      </c>
      <c r="I9">
        <v>0.2620565744409723</v>
      </c>
      <c r="J9">
        <v>0.52404779913426158</v>
      </c>
      <c r="K9">
        <v>-0.43898475982711449</v>
      </c>
      <c r="L9">
        <v>0.18413612461050816</v>
      </c>
      <c r="M9">
        <v>0.40169993906379875</v>
      </c>
      <c r="N9">
        <v>0</v>
      </c>
      <c r="O9">
        <v>0.18329007629179495</v>
      </c>
      <c r="P9">
        <v>-0.21188821939411895</v>
      </c>
      <c r="Q9">
        <v>0</v>
      </c>
      <c r="R9">
        <v>-0.43615572177631795</v>
      </c>
    </row>
    <row r="10" spans="1:18" x14ac:dyDescent="0.3">
      <c r="A10" s="8">
        <v>19</v>
      </c>
      <c r="B10" s="8">
        <v>3</v>
      </c>
      <c r="C10" s="8">
        <v>21</v>
      </c>
      <c r="D10" s="8">
        <v>9</v>
      </c>
      <c r="E10" s="8">
        <v>13</v>
      </c>
      <c r="I10">
        <v>0.28716454166109545</v>
      </c>
      <c r="J10">
        <v>0.34012467657849788</v>
      </c>
      <c r="K10">
        <v>0.27826866494360958</v>
      </c>
      <c r="L10">
        <v>0.17480596851582392</v>
      </c>
      <c r="M10">
        <v>-0.21182192804756378</v>
      </c>
      <c r="N10">
        <v>0</v>
      </c>
      <c r="O10">
        <v>-0.75446407094051748</v>
      </c>
      <c r="P10">
        <v>-0.2824475001391728</v>
      </c>
      <c r="Q10">
        <v>0</v>
      </c>
      <c r="R10">
        <v>0</v>
      </c>
    </row>
    <row r="11" spans="1:18" x14ac:dyDescent="0.3">
      <c r="A11" s="8">
        <v>20</v>
      </c>
      <c r="B11" s="8">
        <v>6</v>
      </c>
      <c r="C11" s="8">
        <v>25</v>
      </c>
      <c r="D11" s="8">
        <v>8</v>
      </c>
      <c r="E11" s="8">
        <v>16</v>
      </c>
      <c r="I11">
        <v>0.34082815226990232</v>
      </c>
      <c r="J11">
        <v>0.31826333703579951</v>
      </c>
      <c r="K11">
        <v>-0.2790335798128562</v>
      </c>
      <c r="L11">
        <v>-0.30635063423637565</v>
      </c>
      <c r="M11">
        <v>-0.47444246832761194</v>
      </c>
      <c r="N11">
        <v>0</v>
      </c>
      <c r="O11">
        <v>0</v>
      </c>
      <c r="P11">
        <v>0.62107850824681432</v>
      </c>
      <c r="Q11">
        <v>0</v>
      </c>
      <c r="R11">
        <v>0</v>
      </c>
    </row>
    <row r="12" spans="1:18" x14ac:dyDescent="0.3">
      <c r="I12" t="str">
        <f ca="1">_xlfn.FORMULATEXT(I2)</f>
        <v>=SVD_U(C14:G23)</v>
      </c>
    </row>
    <row r="13" spans="1:18" x14ac:dyDescent="0.3">
      <c r="A13" s="8" t="s">
        <v>453</v>
      </c>
      <c r="C13" s="8" t="s">
        <v>2</v>
      </c>
      <c r="D13" s="8"/>
      <c r="E13" s="8"/>
      <c r="F13" s="8"/>
      <c r="G13" s="8"/>
    </row>
    <row r="14" spans="1:18" x14ac:dyDescent="0.3">
      <c r="A14" s="8">
        <v>15</v>
      </c>
      <c r="C14" s="8">
        <v>1</v>
      </c>
      <c r="D14" s="8">
        <v>2</v>
      </c>
      <c r="E14" s="8">
        <v>22</v>
      </c>
      <c r="F14" s="8">
        <v>8</v>
      </c>
      <c r="G14" s="8">
        <v>12</v>
      </c>
      <c r="I14" t="s">
        <v>15</v>
      </c>
      <c r="O14" s="301" t="s">
        <v>277</v>
      </c>
    </row>
    <row r="15" spans="1:18" ht="15" x14ac:dyDescent="0.35">
      <c r="A15" s="8">
        <v>18</v>
      </c>
      <c r="C15" s="8">
        <v>1</v>
      </c>
      <c r="D15" s="8">
        <v>5</v>
      </c>
      <c r="E15" s="8">
        <v>32</v>
      </c>
      <c r="F15" s="8">
        <v>7</v>
      </c>
      <c r="G15" s="8">
        <v>13</v>
      </c>
      <c r="I15" cm="1">
        <f t="array" ref="I15:M19">[2]!SVD_V(C14:G23)</f>
        <v>3.4235857038407938E-2</v>
      </c>
      <c r="J15">
        <v>3.5185615403416907E-2</v>
      </c>
      <c r="K15">
        <v>3.5663735416687277E-2</v>
      </c>
      <c r="L15">
        <v>-1.0353537951234072E-2</v>
      </c>
      <c r="M15">
        <v>0.99810359221353406</v>
      </c>
      <c r="O15" s="8" cm="1">
        <f t="array" ref="O15:O19">MMULT(MMULT(I15:M19,MMULT(MINVERSE(I23:M27),TRANSPOSE(I2:M11))),A14:A23)</f>
        <v>0.38522836846849629</v>
      </c>
      <c r="P15" s="11" t="s">
        <v>519</v>
      </c>
    </row>
    <row r="16" spans="1:18" ht="15" x14ac:dyDescent="0.35">
      <c r="A16" s="8">
        <v>14</v>
      </c>
      <c r="C16" s="8">
        <v>1</v>
      </c>
      <c r="D16" s="8">
        <v>4</v>
      </c>
      <c r="E16" s="8">
        <v>24</v>
      </c>
      <c r="F16" s="8">
        <v>6</v>
      </c>
      <c r="G16" s="8">
        <v>9</v>
      </c>
      <c r="I16">
        <v>0.14744325557897217</v>
      </c>
      <c r="J16">
        <v>3.1725556899779801E-2</v>
      </c>
      <c r="K16">
        <v>-0.33884679193661826</v>
      </c>
      <c r="L16">
        <v>-0.92866739211391813</v>
      </c>
      <c r="M16">
        <v>-3.7015999596222678E-3</v>
      </c>
      <c r="O16" s="8">
        <v>0.55259870945063594</v>
      </c>
      <c r="P16" s="11" t="s">
        <v>518</v>
      </c>
    </row>
    <row r="17" spans="1:18" ht="15" x14ac:dyDescent="0.35">
      <c r="A17" s="8">
        <v>16</v>
      </c>
      <c r="C17" s="8">
        <v>1</v>
      </c>
      <c r="D17" s="8">
        <v>3</v>
      </c>
      <c r="E17" s="8">
        <v>18</v>
      </c>
      <c r="F17" s="8">
        <v>9</v>
      </c>
      <c r="G17" s="8">
        <v>10</v>
      </c>
      <c r="I17">
        <v>0.85422007138965683</v>
      </c>
      <c r="J17">
        <v>-0.50753010865875925</v>
      </c>
      <c r="K17">
        <v>5.1847941962149015E-2</v>
      </c>
      <c r="L17">
        <v>9.9415653197189646E-2</v>
      </c>
      <c r="M17">
        <v>-1.2230177984925527E-2</v>
      </c>
      <c r="O17" s="8">
        <v>0.19438605740116785</v>
      </c>
      <c r="P17" s="11" t="s">
        <v>517</v>
      </c>
    </row>
    <row r="18" spans="1:18" ht="15" x14ac:dyDescent="0.35">
      <c r="A18" s="8">
        <v>19</v>
      </c>
      <c r="C18" s="8">
        <v>1</v>
      </c>
      <c r="D18" s="8">
        <v>6</v>
      </c>
      <c r="E18" s="8">
        <v>24</v>
      </c>
      <c r="F18" s="8">
        <v>7</v>
      </c>
      <c r="G18" s="8">
        <v>12</v>
      </c>
      <c r="I18">
        <v>0.24760707629854195</v>
      </c>
      <c r="J18">
        <v>0.45400219429009686</v>
      </c>
      <c r="K18">
        <v>0.81856681481563287</v>
      </c>
      <c r="L18">
        <v>-0.24362755992031249</v>
      </c>
      <c r="M18">
        <v>-5.6273662369965984E-2</v>
      </c>
      <c r="O18" s="8">
        <v>0.68529888737563449</v>
      </c>
      <c r="P18" s="11" t="s">
        <v>516</v>
      </c>
    </row>
    <row r="19" spans="1:18" ht="15" x14ac:dyDescent="0.35">
      <c r="A19" s="8">
        <v>20</v>
      </c>
      <c r="C19" s="8">
        <v>1</v>
      </c>
      <c r="D19" s="8">
        <v>5</v>
      </c>
      <c r="E19" s="8">
        <v>31</v>
      </c>
      <c r="F19" s="8">
        <v>5</v>
      </c>
      <c r="G19" s="8">
        <v>14</v>
      </c>
      <c r="I19">
        <v>0.43137825383189804</v>
      </c>
      <c r="J19">
        <v>0.73078769686735112</v>
      </c>
      <c r="K19">
        <v>-0.45953357893332508</v>
      </c>
      <c r="L19">
        <v>0.26121221070783623</v>
      </c>
      <c r="M19">
        <v>-2.1429303257715561E-2</v>
      </c>
      <c r="O19" s="8">
        <v>0.45340751833192139</v>
      </c>
      <c r="P19" s="11" t="s">
        <v>515</v>
      </c>
    </row>
    <row r="20" spans="1:18" x14ac:dyDescent="0.3">
      <c r="A20" s="8">
        <v>22</v>
      </c>
      <c r="C20" s="8">
        <v>1</v>
      </c>
      <c r="D20" s="8">
        <v>4</v>
      </c>
      <c r="E20" s="8">
        <v>28</v>
      </c>
      <c r="F20" s="8">
        <v>8</v>
      </c>
      <c r="G20" s="8">
        <v>11</v>
      </c>
      <c r="I20" t="str">
        <f ca="1">_xlfn.FORMULATEXT(I15)</f>
        <v>=SVD_V(C14:G23)</v>
      </c>
      <c r="O20" t="str">
        <f ca="1">_xlfn.FORMULATEXT(O15)</f>
        <v>=MMULT(MMULT(I15:M19,MMULT(MINVERSE(I23:M27),TRANSPOSE(I2:M11))),A14:A23)</v>
      </c>
    </row>
    <row r="21" spans="1:18" x14ac:dyDescent="0.3">
      <c r="A21" s="8">
        <v>18</v>
      </c>
      <c r="C21" s="8">
        <v>1</v>
      </c>
      <c r="D21" s="8">
        <v>4</v>
      </c>
      <c r="E21" s="8">
        <v>18</v>
      </c>
      <c r="F21" s="8">
        <v>6</v>
      </c>
      <c r="G21" s="8">
        <v>15</v>
      </c>
    </row>
    <row r="22" spans="1:18" x14ac:dyDescent="0.3">
      <c r="A22" s="8">
        <v>19</v>
      </c>
      <c r="C22" s="8">
        <v>1</v>
      </c>
      <c r="D22" s="8">
        <v>3</v>
      </c>
      <c r="E22" s="8">
        <v>21</v>
      </c>
      <c r="F22" s="8">
        <v>9</v>
      </c>
      <c r="G22" s="8">
        <v>13</v>
      </c>
      <c r="I22" s="12" t="s">
        <v>464</v>
      </c>
      <c r="O22" s="300" t="s">
        <v>499</v>
      </c>
      <c r="R22" t="s">
        <v>514</v>
      </c>
    </row>
    <row r="23" spans="1:18" x14ac:dyDescent="0.3">
      <c r="A23" s="8">
        <v>20</v>
      </c>
      <c r="C23" s="8">
        <v>1</v>
      </c>
      <c r="D23" s="8">
        <v>6</v>
      </c>
      <c r="E23" s="8">
        <v>25</v>
      </c>
      <c r="F23" s="8">
        <v>8</v>
      </c>
      <c r="G23" s="8">
        <v>16</v>
      </c>
      <c r="I23" cm="1">
        <f t="array" ref="I23:M32">[2]!SVD_D(C14:G23)</f>
        <v>91.416467916297009</v>
      </c>
      <c r="J23">
        <v>0</v>
      </c>
      <c r="K23">
        <v>0</v>
      </c>
      <c r="L23">
        <v>0</v>
      </c>
      <c r="M23">
        <v>0</v>
      </c>
      <c r="O23" s="8" cm="1">
        <f t="array" ref="O23:O32">MMULT(C14:G23,O15:O19)</f>
        <v>16.690200369183593</v>
      </c>
      <c r="R23" cm="1">
        <f t="array" ref="R23:R32">A14:A23-O23:O32</f>
        <v>-1.690200369183593</v>
      </c>
    </row>
    <row r="24" spans="1:18" x14ac:dyDescent="0.3">
      <c r="A24" s="8"/>
      <c r="I24">
        <v>0</v>
      </c>
      <c r="J24">
        <v>8.9922608465881542</v>
      </c>
      <c r="K24">
        <v>0</v>
      </c>
      <c r="L24">
        <v>0</v>
      </c>
      <c r="M24">
        <v>0</v>
      </c>
      <c r="O24" s="8">
        <v>20.059965702503465</v>
      </c>
      <c r="R24">
        <v>-2.0599657025034652</v>
      </c>
    </row>
    <row r="25" spans="1:18" x14ac:dyDescent="0.3">
      <c r="I25">
        <v>0</v>
      </c>
      <c r="J25">
        <v>0</v>
      </c>
      <c r="K25">
        <v>5.3944088470172424</v>
      </c>
      <c r="L25">
        <v>0</v>
      </c>
      <c r="M25">
        <v>0</v>
      </c>
      <c r="O25" s="8">
        <v>15.453349573140166</v>
      </c>
      <c r="R25">
        <v>-1.4533495731401658</v>
      </c>
    </row>
    <row r="26" spans="1:18" x14ac:dyDescent="0.3">
      <c r="A26" s="8"/>
      <c r="I26">
        <v>0</v>
      </c>
      <c r="J26">
        <v>0</v>
      </c>
      <c r="K26">
        <v>0</v>
      </c>
      <c r="L26">
        <v>2.8287575473845665</v>
      </c>
      <c r="M26">
        <v>0</v>
      </c>
      <c r="O26" s="8">
        <v>16.24373869974135</v>
      </c>
      <c r="R26">
        <v>-0.24373869974134976</v>
      </c>
    </row>
    <row r="27" spans="1:18" x14ac:dyDescent="0.3">
      <c r="A27" s="8"/>
      <c r="I27">
        <v>0</v>
      </c>
      <c r="J27">
        <v>0</v>
      </c>
      <c r="K27">
        <v>0</v>
      </c>
      <c r="L27">
        <v>0</v>
      </c>
      <c r="M27">
        <v>0.25908011288710742</v>
      </c>
      <c r="O27" s="8">
        <v>18.604068434412838</v>
      </c>
      <c r="R27">
        <v>0.39593156558716203</v>
      </c>
    </row>
    <row r="28" spans="1:18" x14ac:dyDescent="0.3">
      <c r="A28" s="8"/>
      <c r="I28">
        <v>0</v>
      </c>
      <c r="J28">
        <v>0</v>
      </c>
      <c r="K28">
        <v>0</v>
      </c>
      <c r="L28">
        <v>0</v>
      </c>
      <c r="M28">
        <v>0</v>
      </c>
      <c r="O28" s="8">
        <v>18.948389388682951</v>
      </c>
      <c r="R28">
        <v>1.0516106113170487</v>
      </c>
    </row>
    <row r="29" spans="1:18" x14ac:dyDescent="0.3">
      <c r="A29" s="8"/>
      <c r="I29">
        <v>0</v>
      </c>
      <c r="J29">
        <v>0</v>
      </c>
      <c r="K29">
        <v>0</v>
      </c>
      <c r="L29">
        <v>0</v>
      </c>
      <c r="M29">
        <v>0</v>
      </c>
      <c r="O29" s="8">
        <v>18.508306614159949</v>
      </c>
      <c r="R29">
        <v>3.4916933858400512</v>
      </c>
    </row>
    <row r="30" spans="1:18" x14ac:dyDescent="0.3">
      <c r="A30" s="8"/>
      <c r="I30">
        <v>0</v>
      </c>
      <c r="J30">
        <v>0</v>
      </c>
      <c r="K30">
        <v>0</v>
      </c>
      <c r="L30">
        <v>0</v>
      </c>
      <c r="M30">
        <v>0</v>
      </c>
      <c r="O30" s="8">
        <v>17.007478338724688</v>
      </c>
      <c r="R30">
        <v>0.99252166127531183</v>
      </c>
    </row>
    <row r="31" spans="1:18" x14ac:dyDescent="0.3">
      <c r="A31" s="8"/>
      <c r="I31">
        <v>0</v>
      </c>
      <c r="J31">
        <v>0</v>
      </c>
      <c r="K31">
        <v>0</v>
      </c>
      <c r="L31">
        <v>0</v>
      </c>
      <c r="M31">
        <v>0</v>
      </c>
      <c r="O31" s="8">
        <v>18.187119426940619</v>
      </c>
      <c r="R31">
        <v>0.81288057305938111</v>
      </c>
    </row>
    <row r="32" spans="1:18" x14ac:dyDescent="0.3">
      <c r="A32" s="8"/>
      <c r="I32">
        <v>0</v>
      </c>
      <c r="J32">
        <v>0</v>
      </c>
      <c r="K32">
        <v>0</v>
      </c>
      <c r="L32">
        <v>0</v>
      </c>
      <c r="M32">
        <v>0</v>
      </c>
      <c r="O32" s="8">
        <v>21.297383452517327</v>
      </c>
      <c r="R32">
        <v>-1.2973834525173267</v>
      </c>
    </row>
    <row r="33" spans="1:18" x14ac:dyDescent="0.3">
      <c r="A33" s="8"/>
      <c r="I33" t="str">
        <f ca="1">_xlfn.FORMULATEXT(I23)</f>
        <v>=SVD_D(C14:G23)</v>
      </c>
      <c r="O33" t="str">
        <f ca="1">_xlfn.FORMULATEXT(O23)</f>
        <v>=MMULT(C14:G23,O15:O19)</v>
      </c>
      <c r="R33" t="str">
        <f ca="1">_xlfn.FORMULATEXT(R23)</f>
        <v>=A14:A23-O23:O32</v>
      </c>
    </row>
    <row r="34" spans="1:18" x14ac:dyDescent="0.3">
      <c r="A34" s="8"/>
    </row>
    <row r="35" spans="1:18" x14ac:dyDescent="0.3">
      <c r="A35" s="8"/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79027-05D2-439C-B9E1-38581CF2D80C}">
  <dimension ref="A1:P25"/>
  <sheetViews>
    <sheetView workbookViewId="0">
      <selection activeCell="R27" sqref="R27"/>
    </sheetView>
  </sheetViews>
  <sheetFormatPr defaultRowHeight="14.4" x14ac:dyDescent="0.3"/>
  <sheetData>
    <row r="1" spans="1:16" ht="15.6" x14ac:dyDescent="0.35">
      <c r="A1" t="s">
        <v>453</v>
      </c>
      <c r="B1" t="s">
        <v>523</v>
      </c>
      <c r="C1" t="s">
        <v>522</v>
      </c>
      <c r="D1" t="s">
        <v>521</v>
      </c>
      <c r="E1" t="s">
        <v>520</v>
      </c>
      <c r="H1" t="s">
        <v>550</v>
      </c>
    </row>
    <row r="2" spans="1:16" ht="15" thickBot="1" x14ac:dyDescent="0.35">
      <c r="A2">
        <v>15</v>
      </c>
      <c r="B2">
        <v>2</v>
      </c>
      <c r="C2">
        <v>22</v>
      </c>
      <c r="D2">
        <v>8</v>
      </c>
      <c r="E2">
        <v>12</v>
      </c>
    </row>
    <row r="3" spans="1:16" x14ac:dyDescent="0.3">
      <c r="A3">
        <v>18</v>
      </c>
      <c r="B3">
        <v>5</v>
      </c>
      <c r="C3">
        <v>32</v>
      </c>
      <c r="D3">
        <v>7</v>
      </c>
      <c r="E3">
        <v>13</v>
      </c>
      <c r="H3" s="304" t="s">
        <v>549</v>
      </c>
      <c r="I3" s="304"/>
    </row>
    <row r="4" spans="1:16" x14ac:dyDescent="0.3">
      <c r="A4">
        <v>14</v>
      </c>
      <c r="B4">
        <v>4</v>
      </c>
      <c r="C4">
        <v>24</v>
      </c>
      <c r="D4">
        <v>6</v>
      </c>
      <c r="E4">
        <v>9</v>
      </c>
      <c r="H4" t="s">
        <v>548</v>
      </c>
      <c r="I4">
        <v>0.72484510248838641</v>
      </c>
    </row>
    <row r="5" spans="1:16" x14ac:dyDescent="0.3">
      <c r="A5">
        <v>16</v>
      </c>
      <c r="B5">
        <v>3</v>
      </c>
      <c r="C5">
        <v>18</v>
      </c>
      <c r="D5">
        <v>9</v>
      </c>
      <c r="E5">
        <v>10</v>
      </c>
      <c r="H5" t="s">
        <v>547</v>
      </c>
      <c r="I5">
        <v>0.52540042260139941</v>
      </c>
    </row>
    <row r="6" spans="1:16" x14ac:dyDescent="0.3">
      <c r="A6">
        <v>19</v>
      </c>
      <c r="B6">
        <v>6</v>
      </c>
      <c r="C6">
        <v>24</v>
      </c>
      <c r="D6">
        <v>7</v>
      </c>
      <c r="E6">
        <v>12</v>
      </c>
      <c r="H6" t="s">
        <v>546</v>
      </c>
      <c r="I6">
        <v>0.14572076068251896</v>
      </c>
    </row>
    <row r="7" spans="1:16" x14ac:dyDescent="0.3">
      <c r="A7">
        <v>20</v>
      </c>
      <c r="B7">
        <v>5</v>
      </c>
      <c r="C7">
        <v>31</v>
      </c>
      <c r="D7">
        <v>5</v>
      </c>
      <c r="E7">
        <v>14</v>
      </c>
      <c r="H7" t="s">
        <v>534</v>
      </c>
      <c r="I7">
        <v>2.2827841246680847</v>
      </c>
    </row>
    <row r="8" spans="1:16" ht="15" thickBot="1" x14ac:dyDescent="0.35">
      <c r="A8">
        <v>22</v>
      </c>
      <c r="B8">
        <v>4</v>
      </c>
      <c r="C8">
        <v>28</v>
      </c>
      <c r="D8">
        <v>8</v>
      </c>
      <c r="E8">
        <v>11</v>
      </c>
      <c r="H8" s="58" t="s">
        <v>545</v>
      </c>
      <c r="I8" s="58">
        <v>10</v>
      </c>
    </row>
    <row r="9" spans="1:16" x14ac:dyDescent="0.3">
      <c r="A9">
        <v>18</v>
      </c>
      <c r="B9">
        <v>4</v>
      </c>
      <c r="C9">
        <v>18</v>
      </c>
      <c r="D9">
        <v>6</v>
      </c>
      <c r="E9">
        <v>15</v>
      </c>
    </row>
    <row r="10" spans="1:16" ht="15" thickBot="1" x14ac:dyDescent="0.35">
      <c r="A10">
        <v>19</v>
      </c>
      <c r="B10">
        <v>3</v>
      </c>
      <c r="C10">
        <v>21</v>
      </c>
      <c r="D10">
        <v>9</v>
      </c>
      <c r="E10">
        <v>13</v>
      </c>
      <c r="H10" t="s">
        <v>544</v>
      </c>
    </row>
    <row r="11" spans="1:16" x14ac:dyDescent="0.3">
      <c r="A11">
        <v>20</v>
      </c>
      <c r="B11">
        <v>6</v>
      </c>
      <c r="C11">
        <v>25</v>
      </c>
      <c r="D11">
        <v>8</v>
      </c>
      <c r="E11">
        <v>16</v>
      </c>
      <c r="H11" s="303"/>
      <c r="I11" s="303" t="s">
        <v>543</v>
      </c>
      <c r="J11" s="303" t="s">
        <v>542</v>
      </c>
      <c r="K11" s="303" t="s">
        <v>541</v>
      </c>
      <c r="L11" s="303" t="s">
        <v>68</v>
      </c>
      <c r="M11" s="303" t="s">
        <v>540</v>
      </c>
    </row>
    <row r="12" spans="1:16" x14ac:dyDescent="0.3">
      <c r="H12" t="s">
        <v>539</v>
      </c>
      <c r="I12">
        <v>4</v>
      </c>
      <c r="J12">
        <v>28.844483200816825</v>
      </c>
      <c r="K12">
        <v>7.2111208002042062</v>
      </c>
      <c r="L12">
        <v>1.3837992268167703</v>
      </c>
      <c r="M12">
        <v>0.35899472739958016</v>
      </c>
    </row>
    <row r="13" spans="1:16" x14ac:dyDescent="0.3">
      <c r="C13" t="s">
        <v>538</v>
      </c>
      <c r="H13" t="s">
        <v>537</v>
      </c>
      <c r="I13">
        <v>5</v>
      </c>
      <c r="J13">
        <v>26.055516799183167</v>
      </c>
      <c r="K13">
        <v>5.211103359836633</v>
      </c>
    </row>
    <row r="14" spans="1:16" ht="15" thickBot="1" x14ac:dyDescent="0.35">
      <c r="H14" s="58" t="s">
        <v>217</v>
      </c>
      <c r="I14" s="58">
        <v>9</v>
      </c>
      <c r="J14" s="58">
        <v>54.899999999999991</v>
      </c>
      <c r="K14" s="58"/>
      <c r="L14" s="58"/>
      <c r="M14" s="58"/>
    </row>
    <row r="15" spans="1:16" ht="15" thickBot="1" x14ac:dyDescent="0.35">
      <c r="C15" s="303" t="s">
        <v>536</v>
      </c>
      <c r="D15" s="303" t="s">
        <v>535</v>
      </c>
      <c r="E15" s="303" t="s">
        <v>433</v>
      </c>
    </row>
    <row r="16" spans="1:16" x14ac:dyDescent="0.3">
      <c r="C16">
        <v>1</v>
      </c>
      <c r="D16">
        <v>16.690200369182854</v>
      </c>
      <c r="E16">
        <v>-1.690200369182854</v>
      </c>
      <c r="H16" s="303"/>
      <c r="I16" s="303" t="s">
        <v>232</v>
      </c>
      <c r="J16" s="303" t="s">
        <v>534</v>
      </c>
      <c r="K16" s="303" t="s">
        <v>533</v>
      </c>
      <c r="L16" s="303" t="s">
        <v>256</v>
      </c>
      <c r="M16" s="303" t="s">
        <v>532</v>
      </c>
      <c r="N16" s="303" t="s">
        <v>531</v>
      </c>
      <c r="O16" s="303" t="s">
        <v>530</v>
      </c>
      <c r="P16" s="303" t="s">
        <v>529</v>
      </c>
    </row>
    <row r="17" spans="3:16" x14ac:dyDescent="0.3">
      <c r="C17">
        <v>2</v>
      </c>
      <c r="D17">
        <v>20.059965702504066</v>
      </c>
      <c r="E17">
        <v>-2.0599657025040656</v>
      </c>
      <c r="H17" t="s">
        <v>528</v>
      </c>
      <c r="I17">
        <v>0.38522836845266539</v>
      </c>
      <c r="J17">
        <v>8.7944249327389592</v>
      </c>
      <c r="K17">
        <v>4.3803701936050168E-2</v>
      </c>
      <c r="L17">
        <v>0.966756399759782</v>
      </c>
      <c r="M17">
        <v>-22.221560618513223</v>
      </c>
      <c r="N17">
        <v>22.992017355418554</v>
      </c>
      <c r="O17">
        <v>-22.221560618513223</v>
      </c>
      <c r="P17">
        <v>22.992017355418554</v>
      </c>
    </row>
    <row r="18" spans="3:16" x14ac:dyDescent="0.3">
      <c r="C18">
        <v>3</v>
      </c>
      <c r="D18">
        <v>15.453349573137061</v>
      </c>
      <c r="E18">
        <v>-1.4533495731370607</v>
      </c>
      <c r="H18" t="s">
        <v>527</v>
      </c>
      <c r="I18">
        <v>0.55259870945067191</v>
      </c>
      <c r="J18">
        <v>0.76376970342956185</v>
      </c>
      <c r="K18">
        <v>0.72351483303060204</v>
      </c>
      <c r="L18">
        <v>0.50178414345153288</v>
      </c>
      <c r="M18">
        <v>-1.4107338167946952</v>
      </c>
      <c r="N18">
        <v>2.5159312356960388</v>
      </c>
      <c r="O18">
        <v>-1.4107338167946952</v>
      </c>
      <c r="P18">
        <v>2.5159312356960388</v>
      </c>
    </row>
    <row r="19" spans="3:16" x14ac:dyDescent="0.3">
      <c r="C19">
        <v>4</v>
      </c>
      <c r="D19">
        <v>16.243738699740121</v>
      </c>
      <c r="E19">
        <v>-0.24373869974012052</v>
      </c>
      <c r="H19" t="s">
        <v>526</v>
      </c>
      <c r="I19">
        <v>0.19438605740134357</v>
      </c>
      <c r="J19">
        <v>0.18864172107289751</v>
      </c>
      <c r="K19">
        <v>1.0304510385919681</v>
      </c>
      <c r="L19">
        <v>0.35004149649887301</v>
      </c>
      <c r="M19">
        <v>-0.29053292423181903</v>
      </c>
      <c r="N19">
        <v>0.67930503903450612</v>
      </c>
      <c r="O19">
        <v>-0.29053292423181903</v>
      </c>
      <c r="P19">
        <v>0.67930503903450612</v>
      </c>
    </row>
    <row r="20" spans="3:16" x14ac:dyDescent="0.3">
      <c r="C20">
        <v>5</v>
      </c>
      <c r="D20">
        <v>18.604068434411719</v>
      </c>
      <c r="E20">
        <v>0.39593156558828113</v>
      </c>
      <c r="H20" t="s">
        <v>525</v>
      </c>
      <c r="I20">
        <v>0.68529888737650679</v>
      </c>
      <c r="J20">
        <v>0.64638817216619349</v>
      </c>
      <c r="K20">
        <v>1.0601971336819402</v>
      </c>
      <c r="L20">
        <v>0.33755959426319143</v>
      </c>
      <c r="M20">
        <v>-0.97629480676406921</v>
      </c>
      <c r="N20">
        <v>2.3468925815170829</v>
      </c>
      <c r="O20">
        <v>-0.97629480676406921</v>
      </c>
      <c r="P20">
        <v>2.3468925815170829</v>
      </c>
    </row>
    <row r="21" spans="3:16" ht="15" thickBot="1" x14ac:dyDescent="0.35">
      <c r="C21">
        <v>6</v>
      </c>
      <c r="D21">
        <v>18.948389388681978</v>
      </c>
      <c r="E21">
        <v>1.0516106113180221</v>
      </c>
      <c r="H21" s="58" t="s">
        <v>524</v>
      </c>
      <c r="I21" s="58">
        <v>0.45340751833226922</v>
      </c>
      <c r="J21" s="58">
        <v>0.39043015501569445</v>
      </c>
      <c r="K21" s="58">
        <v>1.1613025082912543</v>
      </c>
      <c r="L21" s="58">
        <v>0.29794086708734163</v>
      </c>
      <c r="M21" s="58">
        <v>-0.5502251462357457</v>
      </c>
      <c r="N21" s="58">
        <v>1.4570401829002841</v>
      </c>
      <c r="O21" s="58">
        <v>-0.5502251462357457</v>
      </c>
      <c r="P21" s="58">
        <v>1.4570401829002841</v>
      </c>
    </row>
    <row r="22" spans="3:16" x14ac:dyDescent="0.3">
      <c r="C22">
        <v>7</v>
      </c>
      <c r="D22">
        <v>18.508306614159988</v>
      </c>
      <c r="E22">
        <v>3.4916933858400121</v>
      </c>
    </row>
    <row r="23" spans="3:16" x14ac:dyDescent="0.3">
      <c r="C23">
        <v>8</v>
      </c>
      <c r="D23">
        <v>17.007478338722617</v>
      </c>
      <c r="E23">
        <v>0.99252166127738306</v>
      </c>
    </row>
    <row r="24" spans="3:16" x14ac:dyDescent="0.3">
      <c r="C24">
        <v>9</v>
      </c>
      <c r="D24">
        <v>18.187119426940956</v>
      </c>
      <c r="E24">
        <v>0.8128805730590436</v>
      </c>
    </row>
    <row r="25" spans="3:16" ht="15" thickBot="1" x14ac:dyDescent="0.35">
      <c r="C25" s="58">
        <v>10</v>
      </c>
      <c r="D25" s="58">
        <v>21.297383452518648</v>
      </c>
      <c r="E25" s="58">
        <v>-1.2973834525186483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5EE2A-30BD-41E2-8FF9-D8C4FEB60393}">
  <dimension ref="A1:X26"/>
  <sheetViews>
    <sheetView zoomScale="90" zoomScaleNormal="90" workbookViewId="0">
      <selection activeCell="AQ30" sqref="AQ30"/>
    </sheetView>
  </sheetViews>
  <sheetFormatPr defaultRowHeight="14.4" x14ac:dyDescent="0.3"/>
  <cols>
    <col min="1" max="4" width="10.33203125" bestFit="1" customWidth="1"/>
    <col min="11" max="11" width="8.6640625" customWidth="1"/>
    <col min="20" max="20" width="8.6640625" customWidth="1"/>
  </cols>
  <sheetData>
    <row r="1" spans="1:24" ht="16.2" thickBot="1" x14ac:dyDescent="0.4">
      <c r="A1" s="92" t="str">
        <f>'[3]EVD &amp; SVD'!B1</f>
        <v>Centred Xc</v>
      </c>
      <c r="B1" s="75"/>
      <c r="C1" s="75"/>
      <c r="D1" s="74"/>
      <c r="F1" s="52" t="s">
        <v>63</v>
      </c>
      <c r="G1" s="51"/>
      <c r="H1" s="51"/>
      <c r="I1" s="51"/>
      <c r="J1" s="51"/>
      <c r="K1" s="50"/>
      <c r="M1" s="52" t="s">
        <v>62</v>
      </c>
      <c r="N1" s="51"/>
      <c r="O1" s="51"/>
      <c r="P1" s="50"/>
    </row>
    <row r="2" spans="1:24" ht="15" thickBot="1" x14ac:dyDescent="0.35">
      <c r="A2" s="79">
        <f>'Fig.4.1.3-4.1.6'!B12</f>
        <v>2</v>
      </c>
      <c r="B2" s="78">
        <f>'Fig.4.1.3-4.1.6'!C12</f>
        <v>1</v>
      </c>
      <c r="C2" s="78">
        <f>'Fig.4.1.3-4.1.6'!D12</f>
        <v>-1.3333333333333335</v>
      </c>
      <c r="D2" s="77">
        <f>'Fig.4.1.3-4.1.6'!E12</f>
        <v>-2.1666666666666665</v>
      </c>
      <c r="F2" s="91" cm="1">
        <f t="array" ref="F2:K7">[2]!SVD_U(A2:D7)</f>
        <v>0.5087951402776425</v>
      </c>
      <c r="G2" s="90">
        <v>0.35064500472136118</v>
      </c>
      <c r="H2" s="90">
        <v>0.52839742399999268</v>
      </c>
      <c r="I2" s="90">
        <v>0.40261768454038038</v>
      </c>
      <c r="J2" s="90">
        <v>0.40824829046386096</v>
      </c>
      <c r="K2" s="89">
        <v>0.1010152544552152</v>
      </c>
      <c r="L2" s="3" t="s">
        <v>17</v>
      </c>
      <c r="M2" s="88" cm="1">
        <f t="array" ref="M2:P8">[2]!eigVECTSym(A11:D14)</f>
        <v>8.4148141067871158</v>
      </c>
      <c r="N2" s="87">
        <v>0.67959958156260658</v>
      </c>
      <c r="O2" s="87">
        <v>8.5424379898126374E-2</v>
      </c>
      <c r="P2" s="86">
        <v>5.3495265085481504E-2</v>
      </c>
      <c r="Q2" s="26"/>
      <c r="U2" s="8"/>
      <c r="V2" s="8"/>
      <c r="W2" s="8"/>
      <c r="X2" s="8"/>
    </row>
    <row r="3" spans="1:24" x14ac:dyDescent="0.3">
      <c r="A3" s="69">
        <f>'Fig.4.1.3-4.1.6'!B13</f>
        <v>1</v>
      </c>
      <c r="B3" s="21">
        <f>'Fig.4.1.3-4.1.6'!C13</f>
        <v>2</v>
      </c>
      <c r="C3" s="21">
        <f>'Fig.4.1.3-4.1.6'!D13</f>
        <v>-1.3333333333333335</v>
      </c>
      <c r="D3" s="68">
        <f>'Fig.4.1.3-4.1.6'!E13</f>
        <v>-1.1666666666666665</v>
      </c>
      <c r="F3" s="85">
        <v>0.417478010610563</v>
      </c>
      <c r="G3" s="26">
        <v>-0.47903156960484822</v>
      </c>
      <c r="H3" s="26">
        <v>-0.2439506058745364</v>
      </c>
      <c r="I3" s="26">
        <v>-5.2109139599796156E-2</v>
      </c>
      <c r="J3" s="26">
        <v>0.40824829046385996</v>
      </c>
      <c r="K3" s="84">
        <v>-0.6060915267313286</v>
      </c>
      <c r="L3" s="2" t="s">
        <v>15</v>
      </c>
      <c r="M3" s="73">
        <v>-0.51810244509786019</v>
      </c>
      <c r="N3" s="72">
        <v>-0.38947147186111097</v>
      </c>
      <c r="O3" s="72">
        <v>-0.47163134874514734</v>
      </c>
      <c r="P3" s="71">
        <v>-0.59786762738151422</v>
      </c>
      <c r="Q3" s="26"/>
      <c r="U3" s="8"/>
      <c r="V3" s="8"/>
      <c r="W3" s="8"/>
      <c r="X3" s="8"/>
    </row>
    <row r="4" spans="1:24" x14ac:dyDescent="0.3">
      <c r="A4" s="69">
        <f>'Fig.4.1.3-4.1.6'!B14</f>
        <v>-2</v>
      </c>
      <c r="B4" s="21">
        <f>'Fig.4.1.3-4.1.6'!C14</f>
        <v>-1</v>
      </c>
      <c r="C4" s="21">
        <f>'Fig.4.1.3-4.1.6'!D14</f>
        <v>0.66666666666666652</v>
      </c>
      <c r="D4" s="68">
        <f>'Fig.4.1.3-4.1.6'!E14</f>
        <v>1.8333333333333335</v>
      </c>
      <c r="F4" s="85">
        <v>-0.43906537714950966</v>
      </c>
      <c r="G4" s="26">
        <v>-0.41729700537914538</v>
      </c>
      <c r="H4" s="26">
        <v>-0.12944980860138147</v>
      </c>
      <c r="I4" s="26">
        <v>0.59818404323643315</v>
      </c>
      <c r="J4" s="26">
        <v>0.40824829046386285</v>
      </c>
      <c r="K4" s="84">
        <v>0.30304576336565686</v>
      </c>
      <c r="M4" s="65">
        <v>-0.49925617556474239</v>
      </c>
      <c r="N4" s="64">
        <v>0.63869476492034749</v>
      </c>
      <c r="O4" s="64">
        <v>0.46763672711039106</v>
      </c>
      <c r="P4" s="63">
        <v>-0.35231826504069658</v>
      </c>
      <c r="Q4" s="26"/>
      <c r="U4" s="8"/>
      <c r="V4" s="8"/>
      <c r="W4" s="8"/>
      <c r="X4" s="8"/>
    </row>
    <row r="5" spans="1:24" x14ac:dyDescent="0.3">
      <c r="A5" s="69">
        <f>'Fig.4.1.3-4.1.6'!B15</f>
        <v>-1</v>
      </c>
      <c r="B5" s="21">
        <f>'Fig.4.1.3-4.1.6'!C15</f>
        <v>-2</v>
      </c>
      <c r="C5" s="21">
        <f>'Fig.4.1.3-4.1.6'!D15</f>
        <v>1.6666666666666665</v>
      </c>
      <c r="D5" s="68">
        <f>'Fig.4.1.3-4.1.6'!E15</f>
        <v>0.83333333333333348</v>
      </c>
      <c r="F5" s="85">
        <v>-0.40813706815168349</v>
      </c>
      <c r="G5" s="26">
        <v>0.64831301926304741</v>
      </c>
      <c r="H5" s="26">
        <v>-0.28794328563571814</v>
      </c>
      <c r="I5" s="26">
        <v>1.6463721413168361E-2</v>
      </c>
      <c r="J5" s="26">
        <v>0.40824829046386124</v>
      </c>
      <c r="K5" s="84">
        <v>-0.40406101782088666</v>
      </c>
      <c r="M5" s="65">
        <v>0.39170923774579081</v>
      </c>
      <c r="N5" s="64">
        <v>-0.43491168123945018</v>
      </c>
      <c r="O5" s="64">
        <v>0.6083474054711977</v>
      </c>
      <c r="P5" s="63">
        <v>-0.53603091034243477</v>
      </c>
      <c r="Q5" s="26"/>
      <c r="U5" s="8"/>
      <c r="V5" s="8"/>
      <c r="W5" s="8"/>
      <c r="X5" s="8"/>
    </row>
    <row r="6" spans="1:24" ht="15" thickBot="1" x14ac:dyDescent="0.35">
      <c r="A6" s="69">
        <f>'Fig.4.1.3-4.1.6'!B16</f>
        <v>1</v>
      </c>
      <c r="B6" s="21">
        <f>'Fig.4.1.3-4.1.6'!C16</f>
        <v>1</v>
      </c>
      <c r="C6" s="21">
        <f>'Fig.4.1.3-4.1.6'!D16</f>
        <v>-0.33333333333333348</v>
      </c>
      <c r="D6" s="68">
        <f>'Fig.4.1.3-4.1.6'!E16</f>
        <v>-1.1666666666666665</v>
      </c>
      <c r="F6" s="85">
        <v>0.2801201303712551</v>
      </c>
      <c r="G6" s="26">
        <v>0.10338477847319628</v>
      </c>
      <c r="H6" s="26">
        <v>-0.4592541293309888</v>
      </c>
      <c r="I6" s="26">
        <v>-0.40732829436596008</v>
      </c>
      <c r="J6" s="26">
        <v>0.4082482904638699</v>
      </c>
      <c r="K6" s="84">
        <v>0.60609152673132682</v>
      </c>
      <c r="M6" s="56">
        <v>0.57347798615875178</v>
      </c>
      <c r="N6" s="55">
        <v>0.50123128333251243</v>
      </c>
      <c r="O6" s="55">
        <v>-0.43450339077477551</v>
      </c>
      <c r="P6" s="54">
        <v>-0.48072549693704936</v>
      </c>
      <c r="Q6" s="26"/>
      <c r="U6" s="8"/>
      <c r="V6" s="8"/>
      <c r="W6" s="8"/>
      <c r="X6" s="8"/>
    </row>
    <row r="7" spans="1:24" ht="15" thickBot="1" x14ac:dyDescent="0.35">
      <c r="A7" s="62">
        <f>'Fig.4.1.3-4.1.6'!B17</f>
        <v>-1</v>
      </c>
      <c r="B7" s="61">
        <f>'Fig.4.1.3-4.1.6'!C17</f>
        <v>-1</v>
      </c>
      <c r="C7" s="61">
        <f>'Fig.4.1.3-4.1.6'!D17</f>
        <v>0.66666666666666652</v>
      </c>
      <c r="D7" s="60">
        <f>'Fig.4.1.3-4.1.6'!E17</f>
        <v>1.8333333333333335</v>
      </c>
      <c r="F7" s="83">
        <v>-0.35919083595826706</v>
      </c>
      <c r="G7" s="82">
        <v>-0.20601422747361234</v>
      </c>
      <c r="H7" s="82">
        <v>0.59220040544263952</v>
      </c>
      <c r="I7" s="82">
        <v>-0.557828015224202</v>
      </c>
      <c r="J7" s="82">
        <v>0.40824829046386374</v>
      </c>
      <c r="K7" s="81">
        <v>0</v>
      </c>
      <c r="M7" s="26">
        <v>-1.9669986558131636E-12</v>
      </c>
      <c r="N7" s="26">
        <v>-4.6024369925868885E-16</v>
      </c>
      <c r="O7" s="26">
        <v>-5.072098858881694E-18</v>
      </c>
      <c r="P7" s="26">
        <v>1.0167183059207636E-16</v>
      </c>
      <c r="Q7" s="26"/>
      <c r="R7" s="26"/>
      <c r="U7" s="8"/>
      <c r="V7" s="8"/>
      <c r="W7" s="8"/>
      <c r="X7" s="8"/>
    </row>
    <row r="8" spans="1:24" x14ac:dyDescent="0.3">
      <c r="A8" s="21"/>
      <c r="B8" s="21"/>
      <c r="C8" s="21"/>
      <c r="D8" s="21"/>
      <c r="F8" t="str">
        <f ca="1">_xlfn.FORMULATEXT(F2)</f>
        <v>=SVD_U(A2:D7)</v>
      </c>
      <c r="M8" s="26">
        <v>6.6613381477509392E-15</v>
      </c>
      <c r="N8" s="26">
        <v>4.4408920985006262E-16</v>
      </c>
      <c r="O8" s="26">
        <v>4.4408920985006262E-16</v>
      </c>
      <c r="P8" s="26">
        <v>1.3322676295501878E-15</v>
      </c>
      <c r="Q8" s="26"/>
      <c r="R8" s="26"/>
    </row>
    <row r="9" spans="1:24" ht="15" thickBot="1" x14ac:dyDescent="0.35">
      <c r="A9" s="20"/>
      <c r="M9" t="str">
        <f ca="1">_xlfn.FORMULATEXT(M2)</f>
        <v>=eigVECTSym(A11:D14)</v>
      </c>
    </row>
    <row r="10" spans="1:24" ht="16.2" thickBot="1" x14ac:dyDescent="0.4">
      <c r="A10" s="52" t="s">
        <v>61</v>
      </c>
      <c r="B10" s="51"/>
      <c r="C10" s="51"/>
      <c r="D10" s="50"/>
      <c r="F10" s="80" t="s">
        <v>60</v>
      </c>
      <c r="G10" s="51"/>
      <c r="H10" s="51"/>
      <c r="I10" s="50"/>
      <c r="M10" s="52" t="s">
        <v>59</v>
      </c>
      <c r="N10" s="51"/>
      <c r="O10" s="51"/>
      <c r="P10" s="50"/>
    </row>
    <row r="11" spans="1:24" x14ac:dyDescent="0.3">
      <c r="A11" s="79" cm="1">
        <f t="array" ref="A11:D14">1/(COUNT(A2:A7)-1)*MMULT(TRANSPOSE(A2:D7),A2:D7)</f>
        <v>2.4000000000000004</v>
      </c>
      <c r="B11" s="78">
        <v>2</v>
      </c>
      <c r="C11" s="78">
        <v>-1.6</v>
      </c>
      <c r="D11" s="77">
        <v>-2.6000000000000005</v>
      </c>
      <c r="F11" s="76" cm="1">
        <f t="array" ref="F11:I16">[2]!SVD_D(A2:D7)</f>
        <v>6.4864528468135498</v>
      </c>
      <c r="G11" s="75">
        <v>0</v>
      </c>
      <c r="H11" s="75">
        <v>0</v>
      </c>
      <c r="I11" s="74">
        <v>0</v>
      </c>
      <c r="M11" s="73" cm="1">
        <f t="array" ref="M11:P14">[2]!SVD_V(A2:D7)</f>
        <v>0.51810244509785974</v>
      </c>
      <c r="N11" s="72">
        <v>0.38947147186111097</v>
      </c>
      <c r="O11" s="72">
        <v>0.47163134874515822</v>
      </c>
      <c r="P11" s="71">
        <v>-0.597867627381508</v>
      </c>
      <c r="V11" s="70"/>
    </row>
    <row r="12" spans="1:24" x14ac:dyDescent="0.3">
      <c r="A12" s="69">
        <v>2</v>
      </c>
      <c r="B12" s="21">
        <v>2.4000000000000004</v>
      </c>
      <c r="C12" s="21">
        <v>-1.7999999999999998</v>
      </c>
      <c r="D12" s="68">
        <v>-2.2000000000000002</v>
      </c>
      <c r="F12" s="67">
        <v>0</v>
      </c>
      <c r="G12" s="45">
        <v>1.8433659180458521</v>
      </c>
      <c r="H12">
        <v>0</v>
      </c>
      <c r="I12" s="66">
        <v>0</v>
      </c>
      <c r="M12" s="65">
        <v>0.49925617556474217</v>
      </c>
      <c r="N12" s="64">
        <v>-0.63869476492034749</v>
      </c>
      <c r="O12" s="64">
        <v>-0.4676367271103839</v>
      </c>
      <c r="P12" s="63">
        <v>-0.35231826504069796</v>
      </c>
    </row>
    <row r="13" spans="1:24" x14ac:dyDescent="0.3">
      <c r="A13" s="69">
        <v>-1.6</v>
      </c>
      <c r="B13" s="21">
        <v>-1.7999999999999998</v>
      </c>
      <c r="C13" s="21">
        <v>1.466666666666667</v>
      </c>
      <c r="D13" s="68">
        <v>1.7333333333333336</v>
      </c>
      <c r="F13" s="67">
        <v>0</v>
      </c>
      <c r="G13">
        <v>0</v>
      </c>
      <c r="H13" s="45">
        <v>0.65354563688439671</v>
      </c>
      <c r="I13" s="66">
        <v>0</v>
      </c>
      <c r="M13" s="65">
        <v>-0.39170923774579064</v>
      </c>
      <c r="N13" s="64">
        <v>0.43491168123945045</v>
      </c>
      <c r="O13" s="64">
        <v>-0.60834740547118649</v>
      </c>
      <c r="P13" s="63">
        <v>-0.53603091034243666</v>
      </c>
    </row>
    <row r="14" spans="1:24" ht="15" thickBot="1" x14ac:dyDescent="0.35">
      <c r="A14" s="62">
        <v>-2.6000000000000005</v>
      </c>
      <c r="B14" s="61">
        <v>-2.2000000000000002</v>
      </c>
      <c r="C14" s="61">
        <v>1.7333333333333336</v>
      </c>
      <c r="D14" s="60">
        <v>2.9666666666666668</v>
      </c>
      <c r="F14" s="59">
        <v>0</v>
      </c>
      <c r="G14" s="58">
        <v>0</v>
      </c>
      <c r="H14" s="58">
        <v>0</v>
      </c>
      <c r="I14" s="57">
        <v>0.51718113405982979</v>
      </c>
      <c r="J14" s="26"/>
      <c r="K14" s="26"/>
      <c r="M14" s="56">
        <v>-0.57347798615875223</v>
      </c>
      <c r="N14" s="55">
        <v>-0.50123128333251288</v>
      </c>
      <c r="O14" s="55">
        <v>0.43450339077478428</v>
      </c>
      <c r="P14" s="54">
        <v>-0.48072549693704802</v>
      </c>
    </row>
    <row r="15" spans="1:24" x14ac:dyDescent="0.3">
      <c r="A15" t="str">
        <f ca="1">_xlfn.FORMULATEXT(A11)</f>
        <v>=1/(COUNT(A2:A7)-1)*MMULT(TRANSPOSE(A2:D7),A2:D7)</v>
      </c>
      <c r="F15">
        <v>0</v>
      </c>
      <c r="G15">
        <v>0</v>
      </c>
      <c r="H15">
        <v>0</v>
      </c>
      <c r="I15">
        <v>0</v>
      </c>
      <c r="M15" t="str">
        <f ca="1">_xlfn.FORMULATEXT(M11)</f>
        <v>=SVD_V(A2:D7)</v>
      </c>
    </row>
    <row r="16" spans="1:24" x14ac:dyDescent="0.3">
      <c r="F16">
        <v>0</v>
      </c>
      <c r="G16">
        <v>0</v>
      </c>
      <c r="H16">
        <v>0</v>
      </c>
      <c r="I16">
        <v>0</v>
      </c>
    </row>
    <row r="17" spans="1:20" x14ac:dyDescent="0.3">
      <c r="F17" t="str">
        <f ca="1">_xlfn.FORMULATEXT(F11)</f>
        <v>=SVD_D(A2:D7)</v>
      </c>
    </row>
    <row r="18" spans="1:20" ht="15" thickBot="1" x14ac:dyDescent="0.35"/>
    <row r="19" spans="1:20" ht="24" thickBot="1" x14ac:dyDescent="0.5">
      <c r="A19" s="52" t="s">
        <v>58</v>
      </c>
      <c r="B19" s="51"/>
      <c r="C19" s="51"/>
      <c r="D19" s="50"/>
      <c r="E19" s="53" t="s">
        <v>57</v>
      </c>
      <c r="F19" s="52" t="s">
        <v>56</v>
      </c>
      <c r="G19" s="51"/>
      <c r="H19" s="51"/>
      <c r="I19" s="50"/>
      <c r="K19" t="s">
        <v>55</v>
      </c>
      <c r="O19" t="s">
        <v>54</v>
      </c>
      <c r="T19" s="23" t="s">
        <v>53</v>
      </c>
    </row>
    <row r="20" spans="1:20" x14ac:dyDescent="0.3">
      <c r="A20" s="49" cm="1">
        <f t="array" ref="A20:D25">MMULT(A2:D7,M3:P6)</f>
        <v>-3.3002756860988129</v>
      </c>
      <c r="B20" s="48">
        <v>-0.64636705103638437</v>
      </c>
      <c r="C20" s="48">
        <v>-0.34533183099615372</v>
      </c>
      <c r="D20" s="47">
        <v>0.20822627068312827</v>
      </c>
      <c r="F20" s="49" cm="1">
        <f t="array" ref="F20:I25">MMULT(F2:K7,F11:I16)</f>
        <v>3.3002756860988138</v>
      </c>
      <c r="G20" s="48">
        <v>0.64636705103638414</v>
      </c>
      <c r="H20" s="48">
        <v>0.34533183099614984</v>
      </c>
      <c r="I20" s="47">
        <v>0.20822627068313673</v>
      </c>
      <c r="K20" s="46">
        <f>(F11^2)/(COUNT($A$2:$A$7)-1)</f>
        <v>8.4148141067871212</v>
      </c>
      <c r="O20" s="45">
        <f>SQRT(M2*(COUNT($A$2:$A$7)-1))</f>
        <v>6.4864528468135481</v>
      </c>
      <c r="T20" s="23" t="s">
        <v>52</v>
      </c>
    </row>
    <row r="21" spans="1:20" x14ac:dyDescent="0.3">
      <c r="A21" s="44">
        <v>-2.7079514304069434</v>
      </c>
      <c r="B21" s="43">
        <v>0.88303046907758664</v>
      </c>
      <c r="C21" s="43">
        <v>0.15943285408460917</v>
      </c>
      <c r="D21" s="42">
        <v>-2.6949863913103611E-2</v>
      </c>
      <c r="F21" s="44">
        <v>2.7079514304069439</v>
      </c>
      <c r="G21" s="43">
        <v>-0.88303046907758653</v>
      </c>
      <c r="H21" s="43">
        <v>-0.15943285408460833</v>
      </c>
      <c r="I21" s="42">
        <v>-2.6949863913104562E-2</v>
      </c>
      <c r="K21" s="46">
        <f>(G12^2)/(COUNT($A$2:$A$7)-1)</f>
        <v>0.67959958156260547</v>
      </c>
      <c r="O21" s="45">
        <f>SQRT(N2*(COUNT($A$2:$A$7)-1))</f>
        <v>1.8433659180458537</v>
      </c>
      <c r="T21" s="23"/>
    </row>
    <row r="22" spans="1:20" x14ac:dyDescent="0.3">
      <c r="A22" s="44">
        <v>2.8479768655487017</v>
      </c>
      <c r="B22" s="43">
        <v>0.76923107741851393</v>
      </c>
      <c r="C22" s="43">
        <v>8.460135760694687E-2</v>
      </c>
      <c r="D22" s="42">
        <v>0.30936950185751144</v>
      </c>
      <c r="F22" s="44">
        <v>-2.8479768655487017</v>
      </c>
      <c r="G22" s="43">
        <v>-0.76923107741851326</v>
      </c>
      <c r="H22" s="43">
        <v>-8.4601357606953115E-2</v>
      </c>
      <c r="I22" s="42">
        <v>0.30936950185751277</v>
      </c>
      <c r="K22" s="46">
        <f>(H13^2)/(COUNT($A$2:$A$7)-1)</f>
        <v>8.5424379898126346E-2</v>
      </c>
      <c r="O22" s="45">
        <f>SQRT(O2*(COUNT($A$2:$A$7)-1))</f>
        <v>0.65354563688439682</v>
      </c>
      <c r="T22" s="23" t="s">
        <v>51</v>
      </c>
    </row>
    <row r="23" spans="1:20" x14ac:dyDescent="0.3">
      <c r="A23" s="44">
        <v>2.6473618476026233</v>
      </c>
      <c r="B23" s="43">
        <v>-1.1950781239349073</v>
      </c>
      <c r="C23" s="43">
        <v>0.18818407799738157</v>
      </c>
      <c r="D23" s="42">
        <v>8.5147261113083794E-3</v>
      </c>
      <c r="F23" s="44">
        <v>-2.6473618476026233</v>
      </c>
      <c r="G23" s="43">
        <v>1.1950781239349055</v>
      </c>
      <c r="H23" s="43">
        <v>-0.18818407799738116</v>
      </c>
      <c r="I23" s="42">
        <v>8.5147261113075173E-3</v>
      </c>
      <c r="K23" s="46">
        <f>(I14^2)/(COUNT($A$2:$A$7)-1)</f>
        <v>5.3495265085482323E-2</v>
      </c>
      <c r="O23" s="45">
        <f>SQRT(P2*(COUNT($A$2:$A$7)-1))</f>
        <v>0.5171811340598258</v>
      </c>
      <c r="T23" s="23" t="s">
        <v>50</v>
      </c>
    </row>
    <row r="24" spans="1:20" x14ac:dyDescent="0.3">
      <c r="A24" s="44">
        <v>-1.8169860170964101</v>
      </c>
      <c r="B24" s="43">
        <v>-0.19057597708221108</v>
      </c>
      <c r="C24" s="43">
        <v>0.30014353244541575</v>
      </c>
      <c r="D24" s="42">
        <v>-0.21066250921484164</v>
      </c>
      <c r="F24" s="44">
        <v>1.8169860170964105</v>
      </c>
      <c r="G24" s="43">
        <v>0.19057597708221052</v>
      </c>
      <c r="H24" s="43">
        <v>-0.3001435324454102</v>
      </c>
      <c r="I24" s="42">
        <v>-0.21066250921484342</v>
      </c>
      <c r="K24" t="str">
        <f ca="1">_xlfn.FORMULATEXT(K20)</f>
        <v>=(F11^2)/(COUNT($A$2:$A$7)-1)</v>
      </c>
      <c r="O24" s="26" t="str">
        <f ca="1">_xlfn.FORMULATEXT(O20)</f>
        <v>=SQRT(M2*(COUNT($A$2:$A$7)-1))</v>
      </c>
      <c r="T24" s="23" t="s">
        <v>49</v>
      </c>
    </row>
    <row r="25" spans="1:20" ht="15" thickBot="1" x14ac:dyDescent="0.35">
      <c r="A25" s="41">
        <v>2.3298744204508415</v>
      </c>
      <c r="B25" s="40">
        <v>0.37975960555740296</v>
      </c>
      <c r="C25" s="40">
        <v>-0.38702999113820052</v>
      </c>
      <c r="D25" s="39">
        <v>-0.28849812552400278</v>
      </c>
      <c r="F25" s="41">
        <v>-2.3298744204508401</v>
      </c>
      <c r="G25" s="40">
        <v>-0.3797596055574024</v>
      </c>
      <c r="H25" s="40">
        <v>0.3870299911382078</v>
      </c>
      <c r="I25" s="39">
        <v>-0.28849812552399678</v>
      </c>
    </row>
    <row r="26" spans="1:20" x14ac:dyDescent="0.3">
      <c r="A26" t="str">
        <f ca="1">_xlfn.FORMULATEXT(A20)</f>
        <v>=MMULT(A2:D7,M3:P6)</v>
      </c>
      <c r="F26" t="str">
        <f ca="1">_xlfn.FORMULATEXT(F20)</f>
        <v>=MMULT(F2:K7,F11:I16)</v>
      </c>
    </row>
  </sheetData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3F005-54EC-4F76-A35F-565AD9370556}">
  <dimension ref="A1:U24"/>
  <sheetViews>
    <sheetView workbookViewId="0">
      <selection activeCell="M23" sqref="M23"/>
    </sheetView>
  </sheetViews>
  <sheetFormatPr defaultRowHeight="14.4" x14ac:dyDescent="0.3"/>
  <cols>
    <col min="8" max="8" width="14" customWidth="1"/>
    <col min="9" max="10" width="12.33203125" customWidth="1"/>
    <col min="11" max="11" width="6.6640625" customWidth="1"/>
    <col min="20" max="20" width="11.109375" customWidth="1"/>
  </cols>
  <sheetData>
    <row r="1" spans="1:21" ht="15.6" x14ac:dyDescent="0.35">
      <c r="A1" s="8" t="s">
        <v>453</v>
      </c>
      <c r="B1" s="8" t="s">
        <v>523</v>
      </c>
      <c r="C1" s="8" t="s">
        <v>582</v>
      </c>
      <c r="E1" s="112" t="s">
        <v>581</v>
      </c>
      <c r="H1" t="s">
        <v>580</v>
      </c>
      <c r="P1" t="s">
        <v>579</v>
      </c>
    </row>
    <row r="2" spans="1:21" ht="15.6" x14ac:dyDescent="0.35">
      <c r="A2" s="8">
        <v>8</v>
      </c>
      <c r="B2" s="8">
        <v>1</v>
      </c>
      <c r="C2" s="8">
        <v>2</v>
      </c>
      <c r="E2" cm="1">
        <f t="array" ref="E2:G6">LINEST(A2:A6,B2:C6,TRUE,TRUE)</f>
        <v>0.66666666666666696</v>
      </c>
      <c r="F2">
        <v>1.6666666666666661</v>
      </c>
      <c r="G2">
        <v>4.8000000000000016</v>
      </c>
      <c r="H2" s="315" t="s">
        <v>573</v>
      </c>
      <c r="I2" s="311" t="s">
        <v>556</v>
      </c>
      <c r="J2" s="314" t="s">
        <v>558</v>
      </c>
      <c r="K2" s="11"/>
      <c r="L2" s="279" t="s">
        <v>558</v>
      </c>
      <c r="M2" s="222">
        <f>G2</f>
        <v>4.8000000000000016</v>
      </c>
      <c r="N2" t="str">
        <f ca="1">_xlfn.FORMULATEXT(M2)</f>
        <v>=G2</v>
      </c>
      <c r="P2" cm="1">
        <f t="array" ref="P2:Q6">LINEST(J10:J14,J18:J22,TRUE,TRUE)</f>
        <v>0.66666666666666696</v>
      </c>
      <c r="Q2">
        <v>-7.6975463040677523E-16</v>
      </c>
      <c r="S2" s="279" t="s">
        <v>558</v>
      </c>
      <c r="T2" s="313">
        <f>Q2</f>
        <v>-7.6975463040677523E-16</v>
      </c>
      <c r="U2" t="str">
        <f ca="1">_xlfn.FORMULATEXT(T2)</f>
        <v>=Q2</v>
      </c>
    </row>
    <row r="3" spans="1:21" ht="15.6" x14ac:dyDescent="0.35">
      <c r="A3" s="8">
        <v>9</v>
      </c>
      <c r="B3" s="8">
        <v>2</v>
      </c>
      <c r="C3" s="8">
        <v>1</v>
      </c>
      <c r="E3">
        <v>0.33333333333333309</v>
      </c>
      <c r="F3">
        <v>0.33333333333333309</v>
      </c>
      <c r="G3">
        <v>0.69282032302754992</v>
      </c>
      <c r="H3" s="10" t="s">
        <v>578</v>
      </c>
      <c r="I3" t="s">
        <v>577</v>
      </c>
      <c r="J3" s="306" t="s">
        <v>576</v>
      </c>
      <c r="L3" s="279" t="s">
        <v>556</v>
      </c>
      <c r="M3" s="222">
        <f>F2</f>
        <v>1.6666666666666661</v>
      </c>
      <c r="N3" t="str">
        <f ca="1">_xlfn.FORMULATEXT(M3)</f>
        <v>=F2</v>
      </c>
      <c r="P3">
        <v>0.27216552697590862</v>
      </c>
      <c r="Q3">
        <v>0.23094010767585024</v>
      </c>
      <c r="S3" s="279" t="s">
        <v>556</v>
      </c>
      <c r="T3" s="222">
        <f>P2</f>
        <v>0.66666666666666696</v>
      </c>
      <c r="U3" t="str">
        <f ca="1">_xlfn.FORMULATEXT(T3)</f>
        <v>=P2</v>
      </c>
    </row>
    <row r="4" spans="1:21" ht="16.8" x14ac:dyDescent="0.35">
      <c r="A4" s="8">
        <v>12</v>
      </c>
      <c r="B4" s="8">
        <v>3</v>
      </c>
      <c r="C4" s="8">
        <v>4</v>
      </c>
      <c r="E4">
        <v>0.98425196850393704</v>
      </c>
      <c r="F4">
        <v>0.63245553203367533</v>
      </c>
      <c r="G4" t="e">
        <v>#N/A</v>
      </c>
      <c r="H4" s="10" t="s">
        <v>575</v>
      </c>
      <c r="I4" t="s">
        <v>574</v>
      </c>
      <c r="J4" s="306"/>
      <c r="L4" s="279" t="s">
        <v>573</v>
      </c>
      <c r="M4" s="222">
        <f>E2</f>
        <v>0.66666666666666696</v>
      </c>
      <c r="N4" t="str">
        <f ca="1">_xlfn.FORMULATEXT(M4)</f>
        <v>=E2</v>
      </c>
      <c r="P4">
        <v>0.66666666666666685</v>
      </c>
      <c r="Q4">
        <v>0.5163977794943222</v>
      </c>
    </row>
    <row r="5" spans="1:21" x14ac:dyDescent="0.3">
      <c r="A5" s="8">
        <v>13</v>
      </c>
      <c r="B5" s="8">
        <v>4</v>
      </c>
      <c r="C5" s="8">
        <v>3</v>
      </c>
      <c r="E5">
        <v>62.500000000000099</v>
      </c>
      <c r="F5">
        <v>2</v>
      </c>
      <c r="G5" t="e">
        <v>#N/A</v>
      </c>
      <c r="H5" s="10" t="s">
        <v>572</v>
      </c>
      <c r="I5" t="s">
        <v>571</v>
      </c>
      <c r="J5" s="306"/>
      <c r="P5">
        <v>6.0000000000000053</v>
      </c>
      <c r="Q5">
        <v>3</v>
      </c>
    </row>
    <row r="6" spans="1:21" x14ac:dyDescent="0.3">
      <c r="A6" s="8">
        <v>17</v>
      </c>
      <c r="B6" s="8">
        <v>5</v>
      </c>
      <c r="C6" s="8">
        <v>5</v>
      </c>
      <c r="E6">
        <v>50</v>
      </c>
      <c r="F6">
        <v>0.79999999999999871</v>
      </c>
      <c r="G6" t="e">
        <v>#N/A</v>
      </c>
      <c r="H6" s="7" t="s">
        <v>570</v>
      </c>
      <c r="I6" s="6" t="s">
        <v>569</v>
      </c>
      <c r="J6" s="5"/>
      <c r="P6">
        <v>1.6000000000000008</v>
      </c>
      <c r="Q6">
        <v>0.7999999999999996</v>
      </c>
    </row>
    <row r="7" spans="1:21" x14ac:dyDescent="0.3">
      <c r="E7" t="str">
        <f ca="1">_xlfn.FORMULATEXT(E2)</f>
        <v>=LINEST(A2:A6,B2:C6,TRUE,TRUE)</v>
      </c>
      <c r="P7" t="str">
        <f ca="1">_xlfn.FORMULATEXT(P2)</f>
        <v>=LINEST(J10:J14,J18:J22,TRUE,TRUE)</v>
      </c>
    </row>
    <row r="8" spans="1:21" ht="16.2" x14ac:dyDescent="0.35">
      <c r="I8" t="s">
        <v>568</v>
      </c>
    </row>
    <row r="9" spans="1:21" ht="15.6" x14ac:dyDescent="0.35">
      <c r="E9" s="112" t="s">
        <v>567</v>
      </c>
      <c r="I9" s="300" t="s">
        <v>499</v>
      </c>
      <c r="J9" s="301" t="s">
        <v>566</v>
      </c>
    </row>
    <row r="10" spans="1:21" ht="15.6" x14ac:dyDescent="0.35">
      <c r="E10" cm="1">
        <f t="array" ref="E10:F14">LINEST(A2:A6,B2:B6,TRUE,TRUE)</f>
        <v>2.1999999999999993</v>
      </c>
      <c r="F10">
        <v>5.2000000000000028</v>
      </c>
      <c r="I10" s="8">
        <f>$M$10+$M$11*B2</f>
        <v>7.4000000000000021</v>
      </c>
      <c r="J10" s="8">
        <f>A2-I10</f>
        <v>0.59999999999999787</v>
      </c>
      <c r="L10" s="279" t="s">
        <v>558</v>
      </c>
      <c r="M10" s="8">
        <f>F10</f>
        <v>5.2000000000000028</v>
      </c>
      <c r="N10" t="str">
        <f ca="1">_xlfn.FORMULATEXT(M10)</f>
        <v>=F10</v>
      </c>
      <c r="P10" s="312">
        <f>T3</f>
        <v>0.66666666666666696</v>
      </c>
      <c r="Q10" s="311" t="s">
        <v>565</v>
      </c>
      <c r="R10" s="310"/>
      <c r="S10" s="310"/>
      <c r="T10" s="309"/>
    </row>
    <row r="11" spans="1:21" ht="15.6" x14ac:dyDescent="0.35">
      <c r="E11">
        <v>0.28284271247461901</v>
      </c>
      <c r="F11">
        <v>0.93808315196468572</v>
      </c>
      <c r="I11" s="8">
        <f>$M$10+$M$11*B3</f>
        <v>9.6000000000000014</v>
      </c>
      <c r="J11" s="8">
        <f>A3-I11</f>
        <v>-0.60000000000000142</v>
      </c>
      <c r="L11" s="279" t="s">
        <v>556</v>
      </c>
      <c r="M11" s="8">
        <f>E10</f>
        <v>2.1999999999999993</v>
      </c>
      <c r="N11" t="str">
        <f ca="1">_xlfn.FORMULATEXT(M11)</f>
        <v>=E10</v>
      </c>
      <c r="P11" s="308" t="str">
        <f ca="1">_xlfn.FORMULATEXT(P10)</f>
        <v>=T3</v>
      </c>
      <c r="T11" s="306"/>
    </row>
    <row r="12" spans="1:21" x14ac:dyDescent="0.3">
      <c r="E12">
        <v>0.952755905511811</v>
      </c>
      <c r="F12">
        <v>0.89442719099991574</v>
      </c>
      <c r="I12" s="8">
        <f>$M$10+$M$11*B4</f>
        <v>11.8</v>
      </c>
      <c r="J12" s="8">
        <f>A4-I12</f>
        <v>0.19999999999999929</v>
      </c>
      <c r="P12" s="10" t="s">
        <v>564</v>
      </c>
      <c r="T12" s="306"/>
    </row>
    <row r="13" spans="1:21" ht="15.6" x14ac:dyDescent="0.35">
      <c r="E13">
        <v>60.500000000000014</v>
      </c>
      <c r="F13">
        <v>3</v>
      </c>
      <c r="I13" s="8">
        <f>$M$10+$M$11*B5</f>
        <v>14</v>
      </c>
      <c r="J13" s="8">
        <f>A5-I13</f>
        <v>-1</v>
      </c>
      <c r="P13" s="307">
        <f>M4</f>
        <v>0.66666666666666696</v>
      </c>
      <c r="Q13" s="11" t="s">
        <v>563</v>
      </c>
      <c r="T13" s="306"/>
    </row>
    <row r="14" spans="1:21" x14ac:dyDescent="0.3">
      <c r="E14">
        <v>48.4</v>
      </c>
      <c r="F14">
        <v>2.3999999999999995</v>
      </c>
      <c r="I14" s="8">
        <f>$M$10+$M$11*B6</f>
        <v>16.2</v>
      </c>
      <c r="J14" s="8">
        <f>A6-I14</f>
        <v>0.80000000000000071</v>
      </c>
      <c r="P14" s="305" t="str">
        <f ca="1">_xlfn.FORMULATEXT(P13)</f>
        <v>=M4</v>
      </c>
      <c r="Q14" s="6"/>
      <c r="R14" s="6"/>
      <c r="S14" s="6"/>
      <c r="T14" s="5"/>
    </row>
    <row r="15" spans="1:21" x14ac:dyDescent="0.3">
      <c r="E15" t="str">
        <f ca="1">_xlfn.FORMULATEXT(E10)</f>
        <v>=LINEST(A2:A6,B2:B6,TRUE,TRUE)</v>
      </c>
      <c r="I15" s="112" t="str">
        <f ca="1">_xlfn.FORMULATEXT(I10)</f>
        <v>=$M$10+$M$11*B2</v>
      </c>
    </row>
    <row r="16" spans="1:21" x14ac:dyDescent="0.3">
      <c r="J16" s="8" t="str">
        <f ca="1">_xlfn.FORMULATEXT(J10)</f>
        <v>=A2-I10</v>
      </c>
      <c r="P16" t="s">
        <v>562</v>
      </c>
    </row>
    <row r="17" spans="5:17" ht="15.6" x14ac:dyDescent="0.35">
      <c r="E17" t="s">
        <v>561</v>
      </c>
      <c r="J17" s="279" t="s">
        <v>560</v>
      </c>
      <c r="P17" t="s">
        <v>559</v>
      </c>
    </row>
    <row r="18" spans="5:17" ht="15.6" x14ac:dyDescent="0.35">
      <c r="E18" cm="1">
        <f t="array" ref="E18:F22">LINEST(B2:B6,C2:C6,TRUE,TRUE)</f>
        <v>0.79999999999999993</v>
      </c>
      <c r="F18">
        <v>0.60000000000000009</v>
      </c>
      <c r="I18" s="8">
        <f>$M$18+$M$19*B2</f>
        <v>1.4</v>
      </c>
      <c r="J18" s="8">
        <f>C2-I18</f>
        <v>0.60000000000000009</v>
      </c>
      <c r="L18" s="279" t="s">
        <v>558</v>
      </c>
      <c r="M18" s="8">
        <f>F18</f>
        <v>0.60000000000000009</v>
      </c>
      <c r="N18" t="str">
        <f ca="1">_xlfn.FORMULATEXT(M18)</f>
        <v>=F18</v>
      </c>
      <c r="P18" t="s">
        <v>557</v>
      </c>
    </row>
    <row r="19" spans="5:17" ht="15.6" x14ac:dyDescent="0.35">
      <c r="E19">
        <v>0.34641016151377546</v>
      </c>
      <c r="F19">
        <v>1.1489125293076057</v>
      </c>
      <c r="I19" s="8">
        <f>$M$18+$M$19*B3</f>
        <v>2.2000000000000002</v>
      </c>
      <c r="J19" s="8">
        <f>C3-I19</f>
        <v>-1.2000000000000002</v>
      </c>
      <c r="L19" s="279" t="s">
        <v>556</v>
      </c>
      <c r="M19" s="8">
        <f>E18</f>
        <v>0.79999999999999993</v>
      </c>
      <c r="N19" t="str">
        <f ca="1">_xlfn.FORMULATEXT(M19)</f>
        <v>=E18</v>
      </c>
      <c r="P19" t="s">
        <v>555</v>
      </c>
    </row>
    <row r="20" spans="5:17" ht="15.6" x14ac:dyDescent="0.35">
      <c r="E20">
        <v>0.64</v>
      </c>
      <c r="F20">
        <v>1.0954451150103321</v>
      </c>
      <c r="I20" s="8">
        <f>$M$18+$M$19*B4</f>
        <v>3</v>
      </c>
      <c r="J20" s="8">
        <f>C4-I20</f>
        <v>1</v>
      </c>
      <c r="P20" t="s">
        <v>554</v>
      </c>
    </row>
    <row r="21" spans="5:17" ht="15.6" x14ac:dyDescent="0.35">
      <c r="E21">
        <v>5.3333333333333339</v>
      </c>
      <c r="F21">
        <v>3</v>
      </c>
      <c r="I21" s="8">
        <f>$M$18+$M$19*B5</f>
        <v>3.8</v>
      </c>
      <c r="J21" s="8">
        <f>C5-I21</f>
        <v>-0.79999999999999982</v>
      </c>
      <c r="Q21" t="s">
        <v>553</v>
      </c>
    </row>
    <row r="22" spans="5:17" x14ac:dyDescent="0.3">
      <c r="E22">
        <v>6.4</v>
      </c>
      <c r="F22">
        <v>3.5999999999999996</v>
      </c>
      <c r="I22" s="8">
        <f>$M$18+$M$19*B6</f>
        <v>4.5999999999999996</v>
      </c>
      <c r="J22" s="8">
        <f>C6-I22</f>
        <v>0.40000000000000036</v>
      </c>
    </row>
    <row r="23" spans="5:17" ht="15.6" x14ac:dyDescent="0.35">
      <c r="E23" t="str">
        <f ca="1">_xlfn.FORMULATEXT(E18)</f>
        <v>=LINEST(B2:B6,C2:C6,TRUE,TRUE)</v>
      </c>
      <c r="I23" t="str">
        <f ca="1">_xlfn.FORMULATEXT(I18)</f>
        <v>=$M$18+$M$19*B2</v>
      </c>
      <c r="P23" t="s">
        <v>552</v>
      </c>
    </row>
    <row r="24" spans="5:17" ht="15.6" x14ac:dyDescent="0.35">
      <c r="J24" s="8" t="str">
        <f ca="1">_xlfn.FORMULATEXT(J18)</f>
        <v>=C2-I18</v>
      </c>
      <c r="P24" t="s">
        <v>551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2C2D-DB80-4444-A289-A3740A139870}">
  <dimension ref="A1:AH49"/>
  <sheetViews>
    <sheetView topLeftCell="L23" workbookViewId="0">
      <selection activeCell="S23" sqref="S23"/>
    </sheetView>
  </sheetViews>
  <sheetFormatPr defaultRowHeight="14.4" x14ac:dyDescent="0.3"/>
  <cols>
    <col min="8" max="8" width="11.33203125" customWidth="1"/>
    <col min="10" max="10" width="11.88671875" customWidth="1"/>
    <col min="18" max="18" width="11.33203125" customWidth="1"/>
    <col min="19" max="19" width="10.109375" customWidth="1"/>
    <col min="23" max="23" width="11" customWidth="1"/>
    <col min="24" max="24" width="3.33203125" customWidth="1"/>
    <col min="25" max="30" width="8.88671875" customWidth="1"/>
    <col min="31" max="31" width="3" customWidth="1"/>
    <col min="39" max="39" width="15" customWidth="1"/>
  </cols>
  <sheetData>
    <row r="1" spans="1:19" x14ac:dyDescent="0.3">
      <c r="B1" s="8" t="s">
        <v>14</v>
      </c>
      <c r="C1" s="8" t="s">
        <v>9</v>
      </c>
      <c r="D1" s="8" t="s">
        <v>8</v>
      </c>
      <c r="E1" s="8" t="s">
        <v>6</v>
      </c>
      <c r="F1" s="8"/>
      <c r="H1" s="112" t="s">
        <v>108</v>
      </c>
      <c r="O1" t="s">
        <v>107</v>
      </c>
    </row>
    <row r="2" spans="1:19" ht="16.2" x14ac:dyDescent="0.3">
      <c r="A2" t="s">
        <v>31</v>
      </c>
      <c r="B2" s="8">
        <v>5</v>
      </c>
      <c r="C2" s="8">
        <v>4</v>
      </c>
      <c r="D2" s="8">
        <v>2</v>
      </c>
      <c r="E2" s="8">
        <v>1</v>
      </c>
      <c r="F2" s="8"/>
      <c r="H2" t="s">
        <v>45</v>
      </c>
      <c r="I2" t="s">
        <v>106</v>
      </c>
      <c r="J2" t="s">
        <v>105</v>
      </c>
      <c r="O2" s="111" t="s">
        <v>104</v>
      </c>
    </row>
    <row r="3" spans="1:19" x14ac:dyDescent="0.3">
      <c r="A3" t="s">
        <v>29</v>
      </c>
      <c r="B3" s="8">
        <v>4</v>
      </c>
      <c r="C3" s="8">
        <v>5</v>
      </c>
      <c r="D3" s="8">
        <v>2</v>
      </c>
      <c r="E3" s="8">
        <v>2</v>
      </c>
      <c r="F3" s="8"/>
      <c r="H3" s="110">
        <f>B21</f>
        <v>3.6377623911311954</v>
      </c>
      <c r="I3" s="14">
        <f>H3/$H$7</f>
        <v>0.90944059778279884</v>
      </c>
      <c r="J3" s="342">
        <f>I3</f>
        <v>0.90944059778279884</v>
      </c>
      <c r="O3" cm="1">
        <f t="array" ref="O3:P4">MMULT(TRANSPOSE(H20:I23),MMULT(MINVERSE([2]!DIAGONAL(L20:L23)),H20:I23))</f>
        <v>143.12018593636864</v>
      </c>
      <c r="P3">
        <v>-108.07829461169979</v>
      </c>
    </row>
    <row r="4" spans="1:19" x14ac:dyDescent="0.3">
      <c r="A4" t="s">
        <v>27</v>
      </c>
      <c r="B4" s="8">
        <v>1</v>
      </c>
      <c r="C4" s="8">
        <v>2</v>
      </c>
      <c r="D4" s="8">
        <v>4</v>
      </c>
      <c r="E4" s="8">
        <v>5</v>
      </c>
      <c r="F4" s="8"/>
      <c r="H4" s="109">
        <f>C21</f>
        <v>0.29683287478026638</v>
      </c>
      <c r="I4">
        <f>H4/$H$7</f>
        <v>7.4208218695066594E-2</v>
      </c>
      <c r="J4" s="343">
        <f>I4+J3</f>
        <v>0.9836488164778654</v>
      </c>
      <c r="O4">
        <v>-108.07829461169979</v>
      </c>
      <c r="P4">
        <v>111.61295441807431</v>
      </c>
    </row>
    <row r="5" spans="1:19" x14ac:dyDescent="0.3">
      <c r="A5" t="s">
        <v>25</v>
      </c>
      <c r="B5" s="8">
        <v>2</v>
      </c>
      <c r="C5" s="8">
        <v>1</v>
      </c>
      <c r="D5" s="8">
        <v>5</v>
      </c>
      <c r="E5" s="8">
        <v>4</v>
      </c>
      <c r="F5" s="8"/>
      <c r="H5" s="10">
        <f>D21</f>
        <v>4.2889677449110965E-2</v>
      </c>
      <c r="I5">
        <f>H5/$H$7</f>
        <v>1.0722419362277741E-2</v>
      </c>
      <c r="J5" s="93">
        <f>I5+J4</f>
        <v>0.99437123584014309</v>
      </c>
      <c r="O5" t="str">
        <f ca="1">_xlfn.FORMULATEXT(O3)</f>
        <v>=MMULT(TRANSPOSE(H20:I23),MMULT(MINVERSE(DIAGONAL(L20:L23)),H20:I23))</v>
      </c>
    </row>
    <row r="6" spans="1:19" x14ac:dyDescent="0.3">
      <c r="A6" t="s">
        <v>23</v>
      </c>
      <c r="B6" s="8">
        <v>4</v>
      </c>
      <c r="C6" s="8">
        <v>4</v>
      </c>
      <c r="D6" s="8">
        <v>3</v>
      </c>
      <c r="E6" s="8">
        <v>2</v>
      </c>
      <c r="F6" s="8"/>
      <c r="H6" s="7">
        <f>E21</f>
        <v>2.2515056639427933E-2</v>
      </c>
      <c r="I6" s="6">
        <f>H6/$H$7</f>
        <v>5.6287641598569832E-3</v>
      </c>
      <c r="J6" s="5">
        <f>I6+J5</f>
        <v>1</v>
      </c>
    </row>
    <row r="7" spans="1:19" ht="16.2" x14ac:dyDescent="0.3">
      <c r="A7" t="s">
        <v>22</v>
      </c>
      <c r="B7" s="8">
        <v>2</v>
      </c>
      <c r="C7" s="8">
        <v>2</v>
      </c>
      <c r="D7" s="8">
        <v>4</v>
      </c>
      <c r="E7" s="8">
        <v>5</v>
      </c>
      <c r="F7" s="8"/>
      <c r="H7" s="108">
        <f>SUM(H3:H6)</f>
        <v>4</v>
      </c>
      <c r="I7">
        <f>SUM(I3:I6)</f>
        <v>1</v>
      </c>
      <c r="O7" t="s">
        <v>588</v>
      </c>
      <c r="Q7" s="8" t="s">
        <v>57</v>
      </c>
      <c r="R7" t="s">
        <v>589</v>
      </c>
    </row>
    <row r="8" spans="1:19" ht="15.6" x14ac:dyDescent="0.35">
      <c r="A8" t="s">
        <v>103</v>
      </c>
      <c r="B8">
        <f>AVERAGE(B2:B7)</f>
        <v>3</v>
      </c>
      <c r="C8">
        <f>AVERAGE(C2:C7)</f>
        <v>3</v>
      </c>
      <c r="D8">
        <f>AVERAGE(D2:D7)</f>
        <v>3.3333333333333335</v>
      </c>
      <c r="E8">
        <f>AVERAGE(E2:E7)</f>
        <v>3.1666666666666665</v>
      </c>
      <c r="F8" t="str">
        <f ca="1">_xlfn.FORMULATEXT(B8)</f>
        <v>=AVERAGE(B2:B7)</v>
      </c>
      <c r="H8" t="str">
        <f ca="1">_xlfn.FORMULATEXT(H7)</f>
        <v>=SUM(H3:H6)</v>
      </c>
      <c r="J8" t="str">
        <f ca="1">_xlfn.FORMULATEXT(J4)</f>
        <v>=I4+J3</v>
      </c>
      <c r="O8" s="8" t="s">
        <v>102</v>
      </c>
      <c r="P8" s="8" t="s">
        <v>101</v>
      </c>
      <c r="R8" s="8" t="s">
        <v>102</v>
      </c>
      <c r="S8" s="8" t="s">
        <v>101</v>
      </c>
    </row>
    <row r="9" spans="1:19" x14ac:dyDescent="0.3">
      <c r="O9" s="15" cm="1">
        <f t="array" ref="O9:P12">TRANSPOSE(MMULT(MINVERSE(O3:P4),MMULT(TRANSPOSE(H20:I23),MINVERSE([2]!DIAGONAL(L20:L23)))))</f>
        <v>-0.7569759136832227</v>
      </c>
      <c r="P9" s="13">
        <v>-0.39181037693306497</v>
      </c>
      <c r="R9" s="107" cm="1">
        <f t="array" ref="R9:S12">TRANSPOSE(MMULT(MINVERSE(MMULT(TRANSPOSE(H20:I23),MMULT(MINVERSE([2]!DIAGONAL(L20:L23)),H20:I23))),MMULT(TRANSPOSE(H20:I23),MINVERSE([2]!DIAGONAL(L20:L23)))))</f>
        <v>-0.7569759136832227</v>
      </c>
      <c r="S9" s="13">
        <v>-0.39181037693306497</v>
      </c>
    </row>
    <row r="10" spans="1:19" x14ac:dyDescent="0.3">
      <c r="A10" t="s">
        <v>100</v>
      </c>
      <c r="C10" s="100"/>
      <c r="H10" t="s">
        <v>99</v>
      </c>
      <c r="K10" t="s">
        <v>95</v>
      </c>
      <c r="L10" t="s">
        <v>98</v>
      </c>
      <c r="O10" s="10">
        <v>0.50278232186684235</v>
      </c>
      <c r="P10" s="9">
        <v>0.88934723777363967</v>
      </c>
      <c r="R10" s="106">
        <v>0.50278232186684235</v>
      </c>
      <c r="S10" s="9">
        <v>0.88934723777363967</v>
      </c>
    </row>
    <row r="11" spans="1:19" x14ac:dyDescent="0.3">
      <c r="B11" s="8" t="s">
        <v>14</v>
      </c>
      <c r="C11" s="8" t="s">
        <v>9</v>
      </c>
      <c r="D11" s="8" t="s">
        <v>8</v>
      </c>
      <c r="E11" s="8" t="s">
        <v>6</v>
      </c>
      <c r="H11" s="15">
        <f t="shared" ref="H11:I14" si="0">B31</f>
        <v>-0.95982020296986836</v>
      </c>
      <c r="I11" s="13">
        <f t="shared" si="0"/>
        <v>-0.25633231592647782</v>
      </c>
      <c r="K11" s="15">
        <f>SUMSQ(H11:I11)</f>
        <v>0.98696107821735102</v>
      </c>
      <c r="L11" s="13">
        <f>1-K11</f>
        <v>1.3038921782648982E-2</v>
      </c>
      <c r="M11" t="str">
        <f ca="1">_xlfn.FORMULATEXT(L11)</f>
        <v>=1-K11</v>
      </c>
      <c r="O11" s="10">
        <v>-0.42184069898966414</v>
      </c>
      <c r="P11" s="9">
        <v>-0.77745091785525322</v>
      </c>
      <c r="R11" s="106">
        <v>-0.42184069898966414</v>
      </c>
      <c r="S11" s="9">
        <v>-0.77745091785525322</v>
      </c>
    </row>
    <row r="12" spans="1:19" x14ac:dyDescent="0.3">
      <c r="A12" s="2" t="s">
        <v>14</v>
      </c>
      <c r="B12" s="15" cm="1">
        <f t="array" ref="B12:E15">[2]!CORR(B2:E7)</f>
        <v>0.99999999999999978</v>
      </c>
      <c r="C12" s="14">
        <v>0.83333333333333315</v>
      </c>
      <c r="D12" s="14">
        <v>-0.85280286542244155</v>
      </c>
      <c r="E12" s="13">
        <v>-0.97439119569461963</v>
      </c>
      <c r="H12" s="10">
        <f t="shared" si="0"/>
        <v>-0.94804554348268966</v>
      </c>
      <c r="I12" s="9">
        <f t="shared" si="0"/>
        <v>0.28600012515649931</v>
      </c>
      <c r="K12" s="10">
        <f>SUMSQ(H12:I12)</f>
        <v>0.98058642410692165</v>
      </c>
      <c r="L12" s="9">
        <f>1-K12</f>
        <v>1.941357589307835E-2</v>
      </c>
      <c r="O12" s="7">
        <v>0.90444657358677116</v>
      </c>
      <c r="P12" s="5">
        <v>0.52865831796205032</v>
      </c>
      <c r="R12" s="105">
        <v>0.90444657358677116</v>
      </c>
      <c r="S12" s="5">
        <v>0.52865831796205032</v>
      </c>
    </row>
    <row r="13" spans="1:19" x14ac:dyDescent="0.3">
      <c r="A13" s="2" t="s">
        <v>9</v>
      </c>
      <c r="B13" s="10">
        <v>0.83333333333333315</v>
      </c>
      <c r="C13">
        <v>0.99999999999999978</v>
      </c>
      <c r="D13">
        <v>-0.95940322360024677</v>
      </c>
      <c r="E13" s="9">
        <v>-0.82448485789544734</v>
      </c>
      <c r="H13" s="104">
        <f t="shared" si="0"/>
        <v>0.95495465794694911</v>
      </c>
      <c r="I13" s="9">
        <f t="shared" si="0"/>
        <v>-0.25927831825792091</v>
      </c>
      <c r="K13" s="10">
        <f>SUMSQ(H13:I13)</f>
        <v>0.97916364505323039</v>
      </c>
      <c r="L13" s="9">
        <f>1-K13</f>
        <v>2.0836354946769609E-2</v>
      </c>
      <c r="O13" t="str">
        <f ca="1">_xlfn.FORMULATEXT(O9)</f>
        <v>=TRANSPOSE(MMULT(MINVERSE(O3:P4),MMULT(TRANSPOSE(H20:I23),MINVERSE(DIAGONAL(L20:L23)))))</v>
      </c>
    </row>
    <row r="14" spans="1:19" x14ac:dyDescent="0.3">
      <c r="A14" s="2" t="s">
        <v>8</v>
      </c>
      <c r="B14" s="10">
        <v>-0.85280286542244155</v>
      </c>
      <c r="C14">
        <v>-0.95940322360024677</v>
      </c>
      <c r="D14">
        <v>0.99999999999999978</v>
      </c>
      <c r="E14" s="9">
        <v>0.83096360373077083</v>
      </c>
      <c r="H14" s="103">
        <f t="shared" si="0"/>
        <v>0.95172412906793191</v>
      </c>
      <c r="I14" s="5">
        <f t="shared" si="0"/>
        <v>0.28654022524568112</v>
      </c>
      <c r="K14" s="7">
        <f>SUMSQ(H14:I14)</f>
        <v>0.98788411853395919</v>
      </c>
      <c r="L14" s="5">
        <f>1-K14</f>
        <v>1.2115881466040812E-2</v>
      </c>
      <c r="R14" t="str">
        <f ca="1">_xlfn.FORMULATEXT(R9)</f>
        <v>=TRANSPOSE(MMULT(MINVERSE(MMULT(TRANSPOSE(H20:I23),MMULT(MINVERSE(DIAGONAL(L20:L23)),H20:I23))),MMULT(TRANSPOSE(H20:I23),MINVERSE(DIAGONAL(L20:L23)))))</v>
      </c>
    </row>
    <row r="15" spans="1:19" x14ac:dyDescent="0.3">
      <c r="A15" s="2" t="s">
        <v>6</v>
      </c>
      <c r="B15" s="7">
        <v>-0.97439119569461963</v>
      </c>
      <c r="C15" s="6">
        <v>-0.82448485789544734</v>
      </c>
      <c r="D15" s="6">
        <v>0.83096360373077083</v>
      </c>
      <c r="E15" s="5">
        <v>0.99999999999999978</v>
      </c>
      <c r="H15" s="102">
        <f>SUMSQ(H11:H14)</f>
        <v>3.6377623911311963</v>
      </c>
      <c r="I15" s="102">
        <f>SUMSQ(I11:I14)</f>
        <v>0.29683287478026632</v>
      </c>
      <c r="J15" s="94">
        <f>SUM(H15:I15)</f>
        <v>3.9345952659114625</v>
      </c>
      <c r="K15" s="94">
        <f>SUM(K11:K14)</f>
        <v>3.934595265911462</v>
      </c>
      <c r="L15">
        <f>SUM(L11:L14)</f>
        <v>6.5404734088537753E-2</v>
      </c>
      <c r="M15" t="str">
        <f ca="1">_xlfn.FORMULATEXT(L15)</f>
        <v>=SUM(L11:L14)</v>
      </c>
    </row>
    <row r="16" spans="1:19" x14ac:dyDescent="0.3">
      <c r="B16">
        <f>SUMSQ(B12:B15)-1</f>
        <v>2.3711553739643616</v>
      </c>
      <c r="C16">
        <f>SUMSQ(C12:C15)-1</f>
        <v>2.2946742707978647</v>
      </c>
      <c r="D16">
        <f>SUMSQ(D12:D15)-1</f>
        <v>2.3382277834525009</v>
      </c>
      <c r="E16">
        <f>SUMSQ(E12:E15)-1</f>
        <v>2.3197139938712956</v>
      </c>
      <c r="F16">
        <f>SUM(B16:E16)</f>
        <v>9.3237714220860219</v>
      </c>
      <c r="H16" t="str">
        <f ca="1">_xlfn.FORMULATEXT(H11)</f>
        <v>=B31</v>
      </c>
      <c r="J16" t="str">
        <f ca="1">_xlfn.FORMULATEXT(J15)</f>
        <v>=SUM(H15:I15)</v>
      </c>
      <c r="K16" t="str">
        <f ca="1">_xlfn.FORMULATEXT(K11)</f>
        <v>=SUMSQ(H11:I11)</v>
      </c>
      <c r="O16" s="101" t="s">
        <v>31</v>
      </c>
      <c r="P16" s="15" cm="1">
        <f t="array" ref="P16:Q21">MMULT(B2:E7-B8:E8,O9:P12)</f>
        <v>-2.4083494829513881</v>
      </c>
      <c r="Q16" s="13">
        <v>-3.098647869928195E-3</v>
      </c>
      <c r="R16" t="s">
        <v>97</v>
      </c>
    </row>
    <row r="17" spans="1:34" x14ac:dyDescent="0.3">
      <c r="B17" t="str">
        <f ca="1">_xlfn.FORMULATEXT(B12)</f>
        <v>=CORR(B2:E7)</v>
      </c>
      <c r="F17" t="str">
        <f ca="1">_xlfn.FORMULATEXT(F16)</f>
        <v>=SUM(B16:E16)</v>
      </c>
      <c r="H17" t="str">
        <f ca="1">_xlfn.FORMULATEXT(H15)</f>
        <v>=SUMSQ(H11:H14)</v>
      </c>
      <c r="K17" t="str">
        <f ca="1">_xlfn.FORMULATEXT(K15)</f>
        <v>=SUM(K11:K14)</v>
      </c>
      <c r="O17" s="98" t="s">
        <v>29</v>
      </c>
      <c r="P17" s="10">
        <v>-0.24414467381455207</v>
      </c>
      <c r="Q17" s="9">
        <v>1.8067172847988271</v>
      </c>
    </row>
    <row r="18" spans="1:34" x14ac:dyDescent="0.3">
      <c r="B18" t="str">
        <f ca="1">_xlfn.FORMULATEXT(B16)</f>
        <v>=SUMSQ(B12:B15)-1</v>
      </c>
      <c r="O18" s="98" t="s">
        <v>27</v>
      </c>
      <c r="P18" s="10">
        <v>2.3880944244155744</v>
      </c>
      <c r="Q18" s="9">
        <v>0.3451798204527472</v>
      </c>
    </row>
    <row r="19" spans="1:34" x14ac:dyDescent="0.3">
      <c r="H19" t="s">
        <v>96</v>
      </c>
      <c r="K19" t="s">
        <v>95</v>
      </c>
      <c r="L19" t="s">
        <v>94</v>
      </c>
      <c r="M19" t="s">
        <v>93</v>
      </c>
      <c r="O19" s="98" t="s">
        <v>25</v>
      </c>
      <c r="P19" s="10">
        <v>-0.19795108371092607</v>
      </c>
      <c r="Q19" s="9">
        <v>-2.2420870300712608</v>
      </c>
    </row>
    <row r="20" spans="1:34" x14ac:dyDescent="0.3">
      <c r="A20" t="s">
        <v>92</v>
      </c>
      <c r="D20" s="100"/>
      <c r="H20" s="99" cm="1">
        <f t="array" ref="H20:I23">[2]!VARIMAX(H11:I14,100)</f>
        <v>-0.86046890951756794</v>
      </c>
      <c r="I20" s="13">
        <v>0.49654237882682128</v>
      </c>
      <c r="K20" s="15">
        <f>SUMSQ(H20:I20)</f>
        <v>0.98696107821735102</v>
      </c>
      <c r="L20" s="13">
        <f>1-K20</f>
        <v>1.3038921782648982E-2</v>
      </c>
      <c r="M20" t="str">
        <f ca="1">_xlfn.FORMULATEXT(L20)</f>
        <v>=1-K20</v>
      </c>
      <c r="O20" s="98" t="s">
        <v>23</v>
      </c>
      <c r="P20" s="10">
        <v>-1.1687676946710586</v>
      </c>
      <c r="Q20" s="9">
        <v>0.13991912916993388</v>
      </c>
    </row>
    <row r="21" spans="1:34" x14ac:dyDescent="0.3">
      <c r="A21" s="3" t="s">
        <v>17</v>
      </c>
      <c r="B21" s="19" cm="1">
        <f t="array" ref="B21:E27">[2]!eigVECTSym(B12:E15)</f>
        <v>3.6377623911311954</v>
      </c>
      <c r="C21" s="18">
        <v>0.29683287478026638</v>
      </c>
      <c r="D21" s="18">
        <v>4.2889677449110965E-2</v>
      </c>
      <c r="E21" s="17">
        <v>2.2515056639427933E-2</v>
      </c>
      <c r="H21" s="10">
        <v>-0.46904817256164494</v>
      </c>
      <c r="I21" s="96">
        <v>0.87211251333959372</v>
      </c>
      <c r="K21" s="10">
        <f>SUMSQ(H21:I21)</f>
        <v>0.98058642410692165</v>
      </c>
      <c r="L21" s="9">
        <f>1-K21</f>
        <v>1.941357589307835E-2</v>
      </c>
      <c r="O21" s="97" t="s">
        <v>22</v>
      </c>
      <c r="P21" s="7">
        <v>1.6311185107323516</v>
      </c>
      <c r="Q21" s="5">
        <v>-4.6630556480317664E-2</v>
      </c>
    </row>
    <row r="22" spans="1:34" x14ac:dyDescent="0.3">
      <c r="A22" s="2" t="s">
        <v>91</v>
      </c>
      <c r="B22" s="15">
        <v>-0.50323718307556398</v>
      </c>
      <c r="C22" s="14">
        <v>-0.47048671213652926</v>
      </c>
      <c r="D22" s="14">
        <v>-0.24365874904384666</v>
      </c>
      <c r="E22" s="13">
        <v>-0.68266024147266613</v>
      </c>
      <c r="H22" s="10">
        <v>0.4928141759596425</v>
      </c>
      <c r="I22" s="96">
        <v>-0.85807798772981525</v>
      </c>
      <c r="K22" s="10">
        <f>SUMSQ(H22:I22)</f>
        <v>0.9791636450532305</v>
      </c>
      <c r="L22" s="9">
        <f>1-K22</f>
        <v>2.0836354946769498E-2</v>
      </c>
      <c r="P22" t="str">
        <f ca="1">_xlfn.FORMULATEXT(P16)</f>
        <v>=MMULT(B2:E7-B8:E8,O9:P12)</v>
      </c>
    </row>
    <row r="23" spans="1:34" x14ac:dyDescent="0.3">
      <c r="B23" s="10">
        <v>-0.49706368677524926</v>
      </c>
      <c r="C23">
        <v>0.524940673473695</v>
      </c>
      <c r="D23">
        <v>0.65216346299897932</v>
      </c>
      <c r="E23" s="9">
        <v>-0.22813986532729841</v>
      </c>
      <c r="H23" s="95">
        <v>0.87607603355322849</v>
      </c>
      <c r="I23" s="5">
        <v>-0.46944105270800685</v>
      </c>
      <c r="K23" s="7">
        <f>SUMSQ(H23:I23)</f>
        <v>0.98788411853395919</v>
      </c>
      <c r="L23" s="5">
        <f>1-K23</f>
        <v>1.2115881466040812E-2</v>
      </c>
    </row>
    <row r="24" spans="1:34" ht="16.2" x14ac:dyDescent="0.3">
      <c r="B24" s="10">
        <v>0.5006861603278816</v>
      </c>
      <c r="C24">
        <v>-0.47589397007768081</v>
      </c>
      <c r="D24">
        <v>0.66700648915363159</v>
      </c>
      <c r="E24" s="9">
        <v>-0.27917851193594906</v>
      </c>
      <c r="H24">
        <f>SUMSQ(H20:H23)</f>
        <v>1.9707879610229102</v>
      </c>
      <c r="I24">
        <f>SUMSQ(I20:I23)</f>
        <v>1.9638073048885523</v>
      </c>
      <c r="K24" s="94">
        <f>SUM(K20:K23)</f>
        <v>3.9345952659114625</v>
      </c>
      <c r="L24">
        <f>SUM(L20:L23)</f>
        <v>6.5404734088537642E-2</v>
      </c>
      <c r="M24" s="4">
        <f>SUM(K24:L24)</f>
        <v>4</v>
      </c>
      <c r="O24" s="15" t="s">
        <v>89</v>
      </c>
      <c r="P24" s="14"/>
      <c r="Q24" s="14"/>
      <c r="R24" s="13"/>
      <c r="T24" s="15" t="s">
        <v>88</v>
      </c>
      <c r="U24" s="14"/>
      <c r="V24" s="14"/>
      <c r="W24" s="14"/>
      <c r="X24" s="14"/>
      <c r="Y24" s="13"/>
      <c r="AA24" s="15" t="s">
        <v>87</v>
      </c>
      <c r="AB24" s="14"/>
      <c r="AC24" s="14"/>
      <c r="AD24" s="14"/>
      <c r="AE24" s="14"/>
      <c r="AF24" s="14" t="s">
        <v>86</v>
      </c>
      <c r="AG24" s="14"/>
      <c r="AH24" s="13"/>
    </row>
    <row r="25" spans="1:34" x14ac:dyDescent="0.3">
      <c r="B25" s="7">
        <v>0.49899238242250876</v>
      </c>
      <c r="C25" s="6">
        <v>0.52593200347539748</v>
      </c>
      <c r="D25" s="6">
        <v>-0.26535933179466875</v>
      </c>
      <c r="E25" s="5">
        <v>-0.63559936676663864</v>
      </c>
      <c r="H25" t="str">
        <f ca="1">_xlfn.FORMULATEXT(H20)</f>
        <v>=VARIMAX(H11:I14,100)</v>
      </c>
      <c r="K25" t="str">
        <f ca="1">_xlfn.FORMULATEXT(K20)</f>
        <v>=SUMSQ(H20:I20)</v>
      </c>
      <c r="M25" t="str">
        <f ca="1">_xlfn.FORMULATEXT(L24)</f>
        <v>=SUM(L20:L23)</v>
      </c>
      <c r="O25" s="10">
        <f>B12</f>
        <v>0.99999999999999978</v>
      </c>
      <c r="P25">
        <f>COUNTA(B2:E7)</f>
        <v>24</v>
      </c>
      <c r="R25" s="9"/>
      <c r="T25" s="10" t="s">
        <v>84</v>
      </c>
      <c r="Y25" s="9"/>
      <c r="AA25" s="10" cm="1">
        <f t="array" ref="AA25:AD28">MINVERSE(B12:E15)</f>
        <v>22.897959183673461</v>
      </c>
      <c r="AB25">
        <v>2.4489795918367361</v>
      </c>
      <c r="AC25">
        <v>5.3604751540839217</v>
      </c>
      <c r="AD25">
        <v>19.876356666963712</v>
      </c>
      <c r="AF25" cm="1">
        <f t="array" ref="AF25:AF28">TRANSPOSE(SQRT([2]!DIAG(AA25:AD28)))</f>
        <v>4.7851812069840634</v>
      </c>
      <c r="AH25" s="9"/>
    </row>
    <row r="26" spans="1:34" x14ac:dyDescent="0.3">
      <c r="B26">
        <v>6.0218312704724455E-14</v>
      </c>
      <c r="C26">
        <v>-7.1335870855298113E-18</v>
      </c>
      <c r="D26">
        <v>3.1981022334007023E-19</v>
      </c>
      <c r="E26">
        <v>3.2781568558182405E-18</v>
      </c>
      <c r="H26" t="str">
        <f ca="1">_xlfn.FORMULATEXT(H24)</f>
        <v>=SUMSQ(H20:H23)</v>
      </c>
      <c r="K26" t="str">
        <f ca="1">_xlfn.FORMULATEXT(K24)</f>
        <v>=SUM(K20:K23)</v>
      </c>
      <c r="O26" s="10">
        <f>B12</f>
        <v>0.99999999999999978</v>
      </c>
      <c r="P26">
        <f>P25</f>
        <v>24</v>
      </c>
      <c r="R26" s="9"/>
      <c r="T26" s="10">
        <f>SUMSQ(B12:B15)</f>
        <v>3.3711553739643616</v>
      </c>
      <c r="U26">
        <f>SUMSQ(C12:C15)</f>
        <v>3.2946742707978647</v>
      </c>
      <c r="V26">
        <f>SUMSQ(D12:D15)</f>
        <v>3.3382277834525009</v>
      </c>
      <c r="W26">
        <f>SUMSQ(E12:E15)</f>
        <v>3.3197139938712956</v>
      </c>
      <c r="X26">
        <f>SUMSQ(B12:E15)</f>
        <v>13.323771422086022</v>
      </c>
      <c r="Y26" s="9"/>
      <c r="AA26" s="10">
        <v>2.4489795918367081</v>
      </c>
      <c r="AB26">
        <v>13.224489795918373</v>
      </c>
      <c r="AC26">
        <v>12.061069096688827</v>
      </c>
      <c r="AD26">
        <v>3.267346301418665</v>
      </c>
      <c r="AF26">
        <v>3.6365491603879594</v>
      </c>
      <c r="AH26" s="9"/>
    </row>
    <row r="27" spans="1:34" x14ac:dyDescent="0.3">
      <c r="B27">
        <v>2.9976021664879227E-15</v>
      </c>
      <c r="C27">
        <v>1.1102230246251565E-16</v>
      </c>
      <c r="D27">
        <v>5.5511151231257827E-17</v>
      </c>
      <c r="E27">
        <v>3.3306690738754696E-16</v>
      </c>
      <c r="O27" s="10" t="str">
        <f ca="1">_xlfn.FORMULATEXT(O25)</f>
        <v>=B12</v>
      </c>
      <c r="P27" t="str">
        <f ca="1">_xlfn.FORMULATEXT(P25)</f>
        <v>=COUNTA(B2:E7)</v>
      </c>
      <c r="R27" s="9"/>
      <c r="T27" s="10" t="str">
        <f ca="1">_xlfn.FORMULATEXT(T26)</f>
        <v>=SUMSQ(B12:B15)</v>
      </c>
      <c r="X27" t="str">
        <f ca="1">_xlfn.FORMULATEXT(X26)</f>
        <v>=SUMSQ(B12:E15)</v>
      </c>
      <c r="Y27" s="9"/>
      <c r="AA27" s="10">
        <v>5.3604751540838977</v>
      </c>
      <c r="AB27">
        <v>12.061069096688826</v>
      </c>
      <c r="AC27">
        <v>14.666666666666677</v>
      </c>
      <c r="AD27">
        <v>2.9799024470784534</v>
      </c>
      <c r="AF27">
        <v>3.8297084310253537</v>
      </c>
      <c r="AH27" s="9"/>
    </row>
    <row r="28" spans="1:34" x14ac:dyDescent="0.3">
      <c r="B28" t="str">
        <f ca="1">_xlfn.FORMULATEXT(B21)</f>
        <v>=eigVECTSym(B12:E15)</v>
      </c>
      <c r="K28" s="341">
        <f>K24/4</f>
        <v>0.98364881647786562</v>
      </c>
      <c r="L28" t="s">
        <v>83</v>
      </c>
      <c r="O28" s="10"/>
      <c r="R28" s="9"/>
      <c r="T28" s="10" t="s">
        <v>82</v>
      </c>
      <c r="Y28" s="9"/>
      <c r="AA28" s="10">
        <v>19.876356666963709</v>
      </c>
      <c r="AB28">
        <v>3.2673463014186939</v>
      </c>
      <c r="AC28">
        <v>2.9799024470784801</v>
      </c>
      <c r="AD28">
        <v>20.58503401360543</v>
      </c>
      <c r="AF28">
        <v>4.5370732872200144</v>
      </c>
      <c r="AH28" s="9"/>
    </row>
    <row r="29" spans="1:34" x14ac:dyDescent="0.3">
      <c r="A29" t="s">
        <v>81</v>
      </c>
      <c r="K29" t="str">
        <f ca="1">_xlfn.FORMULATEXT(K28)</f>
        <v>=K24/4</v>
      </c>
      <c r="L29" t="s">
        <v>80</v>
      </c>
      <c r="O29" s="10" t="s">
        <v>79</v>
      </c>
      <c r="P29">
        <f t="array" ref="P29:P33">[2]!BOX(O25:P26,COUNTA(B1:E1))</f>
        <v>3.0730973321624333E-13</v>
      </c>
      <c r="R29" s="9"/>
      <c r="T29" s="10">
        <f>SUMSQ(B22:B25)</f>
        <v>1.0000000000000002</v>
      </c>
      <c r="U29">
        <f>SUMSQ(C22:C25)</f>
        <v>1</v>
      </c>
      <c r="V29">
        <f>SUMSQ(D22:D25)</f>
        <v>1</v>
      </c>
      <c r="W29">
        <f>SUMSQ(E22:E25)</f>
        <v>0.99999999999999956</v>
      </c>
      <c r="X29">
        <f>SUMSQ(B22:E25)</f>
        <v>3.9999999999999996</v>
      </c>
      <c r="Y29" s="9"/>
      <c r="AA29" s="10" t="str">
        <f ca="1">_xlfn.FORMULATEXT(AA25)</f>
        <v>=MINVERSE(B12:E15)</v>
      </c>
      <c r="AF29" t="str">
        <f ca="1">_xlfn.FORMULATEXT(AF25)</f>
        <v>=TRANSPOSE(SQRT(DIAG(AA25:AD28)))</v>
      </c>
      <c r="AH29" s="9"/>
    </row>
    <row r="30" spans="1:34" ht="15.6" x14ac:dyDescent="0.35">
      <c r="B30" s="8" t="s">
        <v>78</v>
      </c>
      <c r="C30" s="8" t="s">
        <v>77</v>
      </c>
      <c r="D30" s="8" t="s">
        <v>76</v>
      </c>
      <c r="E30" s="8" t="s">
        <v>75</v>
      </c>
      <c r="F30" t="s">
        <v>74</v>
      </c>
      <c r="O30" s="10" t="s">
        <v>73</v>
      </c>
      <c r="P30">
        <v>10</v>
      </c>
      <c r="R30" s="9"/>
      <c r="T30" s="10" t="str">
        <f ca="1">_xlfn.FORMULATEXT(T29)</f>
        <v>=SUMSQ(B22:B25)</v>
      </c>
      <c r="X30" t="str">
        <f ca="1">_xlfn.FORMULATEXT(X29)</f>
        <v>=SUMSQ(B22:E25)</v>
      </c>
      <c r="Y30" s="9"/>
      <c r="AA30" s="10"/>
      <c r="AH30" s="9"/>
    </row>
    <row r="31" spans="1:34" x14ac:dyDescent="0.3">
      <c r="A31" s="2" t="s">
        <v>14</v>
      </c>
      <c r="B31" s="15" cm="1">
        <f t="array" ref="B31:E34">B22:E25*SQRT(ABS(B21:E21))</f>
        <v>-0.95982020296986836</v>
      </c>
      <c r="C31" s="14">
        <v>-0.25633231592647782</v>
      </c>
      <c r="D31" s="14">
        <v>-5.0461295992177684E-2</v>
      </c>
      <c r="E31" s="13">
        <v>-0.10243329238796432</v>
      </c>
      <c r="F31">
        <f>SUMSQ(B31:E31)</f>
        <v>0.99999999999999933</v>
      </c>
      <c r="O31" s="10" t="s">
        <v>72</v>
      </c>
      <c r="P31">
        <v>10116.334661354576</v>
      </c>
      <c r="R31" s="9"/>
      <c r="T31" s="10" t="s">
        <v>71</v>
      </c>
      <c r="Y31" s="9"/>
      <c r="AA31" s="10" t="s">
        <v>70</v>
      </c>
      <c r="AH31" s="9"/>
    </row>
    <row r="32" spans="1:34" x14ac:dyDescent="0.3">
      <c r="A32" s="2" t="s">
        <v>9</v>
      </c>
      <c r="B32" s="10">
        <v>-0.94804554348268966</v>
      </c>
      <c r="C32">
        <v>0.28600012515649931</v>
      </c>
      <c r="D32">
        <v>0.13506189977095015</v>
      </c>
      <c r="E32" s="9">
        <v>-3.4232427949823216E-2</v>
      </c>
      <c r="F32">
        <f>SUMSQ(B32:E32)</f>
        <v>0.99999999999999967</v>
      </c>
      <c r="O32" s="10" t="s">
        <v>68</v>
      </c>
      <c r="P32">
        <v>2.7827917803879362E-14</v>
      </c>
      <c r="R32" s="9"/>
      <c r="T32" s="10">
        <f>T26/(T26+T29)</f>
        <v>0.77122753266648048</v>
      </c>
      <c r="U32">
        <f>U26/(U26+U29)</f>
        <v>0.76715347033426584</v>
      </c>
      <c r="V32">
        <f>V26/(V26+V29)</f>
        <v>0.76949112635017802</v>
      </c>
      <c r="W32">
        <f>W26/(W26+W29)</f>
        <v>0.76850319224402941</v>
      </c>
      <c r="X32">
        <f>X26/(X26+X29)</f>
        <v>0.76910339541305583</v>
      </c>
      <c r="Y32" s="9"/>
      <c r="AA32" s="10">
        <f t="array" ref="AA32:AD35">-AA25:AD28/MMULT(AF25:AF28,TRANSPOSE(AF25:AF28))+2*[2]!Identity()</f>
        <v>0.99999999999999978</v>
      </c>
      <c r="AB32">
        <v>-0.14073344364024978</v>
      </c>
      <c r="AC32">
        <v>-0.29250896965085238</v>
      </c>
      <c r="AD32">
        <v>-0.91550895846820957</v>
      </c>
      <c r="AH32" s="9"/>
    </row>
    <row r="33" spans="1:34" x14ac:dyDescent="0.3">
      <c r="A33" s="2" t="s">
        <v>8</v>
      </c>
      <c r="B33" s="10">
        <v>0.95495465794694911</v>
      </c>
      <c r="C33">
        <v>-0.25927831825792091</v>
      </c>
      <c r="D33">
        <v>0.13813586423620627</v>
      </c>
      <c r="E33" s="9">
        <v>-4.1890786081053608E-2</v>
      </c>
      <c r="F33">
        <f>SUMSQ(B33:E33)</f>
        <v>1.0000000000000027</v>
      </c>
      <c r="O33" s="10" t="s">
        <v>67</v>
      </c>
      <c r="P33">
        <v>1</v>
      </c>
      <c r="R33" s="9"/>
      <c r="T33" s="7" t="str">
        <f ca="1">_xlfn.FORMULATEXT(T32)</f>
        <v>=T26/(T26+T29)</v>
      </c>
      <c r="U33" s="6"/>
      <c r="V33" s="6"/>
      <c r="W33" s="6"/>
      <c r="X33" s="6"/>
      <c r="Y33" s="5"/>
      <c r="AA33" s="10">
        <v>-0.14073344364024817</v>
      </c>
      <c r="AB33">
        <v>1</v>
      </c>
      <c r="AC33">
        <v>-0.86602540378443882</v>
      </c>
      <c r="AD33">
        <v>-0.19802950859533314</v>
      </c>
      <c r="AH33" s="9"/>
    </row>
    <row r="34" spans="1:34" x14ac:dyDescent="0.3">
      <c r="A34" s="2" t="s">
        <v>6</v>
      </c>
      <c r="B34" s="7">
        <v>0.95172412906793191</v>
      </c>
      <c r="C34" s="6">
        <v>0.28654022524568112</v>
      </c>
      <c r="D34" s="6">
        <v>-5.4955448300227687E-2</v>
      </c>
      <c r="E34" s="5">
        <v>-9.5371799648330549E-2</v>
      </c>
      <c r="F34">
        <f>SUMSQ(B34:E34)</f>
        <v>0.99999999999999944</v>
      </c>
      <c r="O34" s="7"/>
      <c r="P34" s="6" t="str">
        <f ca="1">_xlfn.FORMULATEXT(P29)</f>
        <v>{=BOX(O25:P26,COUNTA(B1:E1))}</v>
      </c>
      <c r="Q34" s="6"/>
      <c r="R34" s="5"/>
      <c r="AA34" s="10">
        <v>-0.29250896965085105</v>
      </c>
      <c r="AB34">
        <v>-0.86602540378443871</v>
      </c>
      <c r="AC34">
        <v>1</v>
      </c>
      <c r="AD34">
        <v>-0.17149858514250735</v>
      </c>
      <c r="AH34" s="9"/>
    </row>
    <row r="35" spans="1:34" x14ac:dyDescent="0.3">
      <c r="B35" t="str">
        <f ca="1">_xlfn.FORMULATEXT(B31)</f>
        <v>=B22:E25*SQRT(ABS(B21:E21))</v>
      </c>
      <c r="F35" t="str">
        <f ca="1">_xlfn.FORMULATEXT(F31)</f>
        <v>=SUMSQ(B31:E31)</v>
      </c>
      <c r="AA35" s="10">
        <v>-0.91550895846820946</v>
      </c>
      <c r="AB35">
        <v>-0.19802950859533489</v>
      </c>
      <c r="AC35">
        <v>-0.17149858514250887</v>
      </c>
      <c r="AD35">
        <v>0.99999999999999978</v>
      </c>
      <c r="AH35" s="9"/>
    </row>
    <row r="36" spans="1:34" x14ac:dyDescent="0.3">
      <c r="B36">
        <f>SUMSQ(B31:B34)</f>
        <v>3.6377623911311963</v>
      </c>
      <c r="C36">
        <f>SUMSQ(C31:C34)</f>
        <v>0.29683287478026632</v>
      </c>
      <c r="D36">
        <f>SUMSQ(D31:D34)</f>
        <v>4.2889677449110958E-2</v>
      </c>
      <c r="E36">
        <f>SUMSQ(E31:E34)</f>
        <v>2.2515056639427926E-2</v>
      </c>
      <c r="F36" s="4">
        <f>SUM(B36:E36)</f>
        <v>4.0000000000000009</v>
      </c>
      <c r="O36" s="15" t="s">
        <v>90</v>
      </c>
      <c r="P36" s="14"/>
      <c r="Q36" s="14"/>
      <c r="R36" s="13"/>
      <c r="AA36" s="10" t="str">
        <f ca="1">_xlfn.FORMULATEXT(AA32)</f>
        <v>{=-AA25:AD28/MMULT(AF25:AF28,TRANSPOSE(AF25:AF28))+2*Identity()}</v>
      </c>
      <c r="AH36" s="9"/>
    </row>
    <row r="37" spans="1:34" x14ac:dyDescent="0.3">
      <c r="B37" t="str">
        <f ca="1">_xlfn.FORMULATEXT(B36)</f>
        <v>=SUMSQ(B31:B34)</v>
      </c>
      <c r="F37" t="str">
        <f ca="1">_xlfn.FORMULATEXT(F36)</f>
        <v>=SUM(B36:E36)</v>
      </c>
      <c r="O37" s="10" t="s">
        <v>85</v>
      </c>
      <c r="R37" s="9"/>
      <c r="T37" s="15" t="s">
        <v>66</v>
      </c>
      <c r="U37" s="14"/>
      <c r="V37" s="14"/>
      <c r="W37" s="13"/>
      <c r="AA37" s="10"/>
      <c r="AH37" s="9"/>
    </row>
    <row r="38" spans="1:34" ht="16.2" x14ac:dyDescent="0.3">
      <c r="A38" t="s">
        <v>65</v>
      </c>
      <c r="O38" s="10" cm="1">
        <f t="array" ref="O38:R41">MMULT(H20:I23,TRANSPOSE(H20:I23))</f>
        <v>0.98696107821735102</v>
      </c>
      <c r="P38">
        <v>0.83664219153360642</v>
      </c>
      <c r="Q38">
        <v>-0.85012336182908688</v>
      </c>
      <c r="R38" s="93">
        <v>-0.98693356627662365</v>
      </c>
      <c r="T38" s="10">
        <f>1-O45</f>
        <v>0.98696107821735124</v>
      </c>
      <c r="U38">
        <f>1-P46</f>
        <v>0.98058642410692187</v>
      </c>
      <c r="V38">
        <f>1-Q47</f>
        <v>0.97916364505323072</v>
      </c>
      <c r="W38" s="340">
        <f>1-R48</f>
        <v>0.98788411853395941</v>
      </c>
      <c r="AA38" s="10">
        <f>SUMSQ(AA32:AA35)-1</f>
        <v>0.94352405252059057</v>
      </c>
      <c r="AB38">
        <f>SUMSQ(AB32:AB35)-1</f>
        <v>0.80902158843335337</v>
      </c>
      <c r="AC38">
        <f>SUMSQ(AC32:AC35)-1</f>
        <v>0.86497326203208602</v>
      </c>
      <c r="AD38">
        <f>SUMSQ(AD32:AD35)-1</f>
        <v>0.90678410401593634</v>
      </c>
      <c r="AE38">
        <f>SUM(AA38:AD38)</f>
        <v>3.5243030070019663</v>
      </c>
      <c r="AH38" s="9"/>
    </row>
    <row r="39" spans="1:34" x14ac:dyDescent="0.3">
      <c r="B39" s="15" cm="1">
        <f t="array" ref="B39:E42">MMULT(B31:E34,TRANSPOSE(B31:E34))</f>
        <v>0.99999999999999933</v>
      </c>
      <c r="C39" s="14">
        <v>0.83333333333333282</v>
      </c>
      <c r="D39" s="14">
        <v>-0.85280286542244288</v>
      </c>
      <c r="E39" s="13">
        <v>-0.97439119569461929</v>
      </c>
      <c r="O39" s="10">
        <v>0.83664219153360642</v>
      </c>
      <c r="P39">
        <v>0.98058642410692165</v>
      </c>
      <c r="Q39">
        <v>-0.97949413916677353</v>
      </c>
      <c r="R39" s="93">
        <v>-0.82032727890516077</v>
      </c>
      <c r="T39" s="7" t="str">
        <f ca="1">_xlfn.FORMULATEXT(T38)</f>
        <v>=1-O45</v>
      </c>
      <c r="U39" s="6"/>
      <c r="V39" s="6"/>
      <c r="W39" s="5"/>
      <c r="AA39" s="10" t="str">
        <f ca="1">_xlfn.FORMULATEXT(AA38)</f>
        <v>=SUMSQ(AA32:AA35)-1</v>
      </c>
      <c r="AE39" t="str">
        <f ca="1">_xlfn.FORMULATEXT(AE38)</f>
        <v>=SUM(AA38:AD38)</v>
      </c>
      <c r="AH39" s="9"/>
    </row>
    <row r="40" spans="1:34" x14ac:dyDescent="0.3">
      <c r="B40" s="10">
        <v>0.83333333333333282</v>
      </c>
      <c r="C40">
        <v>0.99999999999999967</v>
      </c>
      <c r="D40">
        <v>-0.95940322360024821</v>
      </c>
      <c r="E40" s="9">
        <v>-0.82448485789544723</v>
      </c>
      <c r="O40" s="10">
        <v>-0.85012336182908688</v>
      </c>
      <c r="P40">
        <v>-0.97949413916677353</v>
      </c>
      <c r="Q40">
        <v>0.9791636450532305</v>
      </c>
      <c r="R40" s="93">
        <v>0.83455972241897913</v>
      </c>
      <c r="AA40" s="10"/>
      <c r="AH40" s="9"/>
    </row>
    <row r="41" spans="1:34" x14ac:dyDescent="0.3">
      <c r="B41" s="10">
        <v>-0.85280286542244288</v>
      </c>
      <c r="C41">
        <v>-0.95940322360024821</v>
      </c>
      <c r="D41">
        <v>1.0000000000000027</v>
      </c>
      <c r="E41" s="9">
        <v>0.83096360373077205</v>
      </c>
      <c r="O41" s="10">
        <v>-0.98693356627662365</v>
      </c>
      <c r="P41">
        <v>-0.82032727890516077</v>
      </c>
      <c r="Q41">
        <v>0.83455972241897913</v>
      </c>
      <c r="R41" s="93">
        <v>0.98788411853395919</v>
      </c>
      <c r="AA41" s="10" t="s">
        <v>64</v>
      </c>
      <c r="AH41" s="9"/>
    </row>
    <row r="42" spans="1:34" x14ac:dyDescent="0.3">
      <c r="B42" s="7">
        <v>-0.97439119569461929</v>
      </c>
      <c r="C42" s="6">
        <v>-0.82448485789544723</v>
      </c>
      <c r="D42" s="6">
        <v>0.83096360373077205</v>
      </c>
      <c r="E42" s="5">
        <v>0.99999999999999944</v>
      </c>
      <c r="O42" s="10" t="str">
        <f ca="1">_xlfn.FORMULATEXT(O38)</f>
        <v>=MMULT(H20:I23,TRANSPOSE(H20:I23))</v>
      </c>
      <c r="R42" s="9"/>
      <c r="AA42" s="10">
        <f>B16/(B16+AA38)</f>
        <v>0.71534983293357279</v>
      </c>
      <c r="AB42">
        <f>C16/(C16+AB38)</f>
        <v>0.73933606090071369</v>
      </c>
      <c r="AC42">
        <f>D16/(D16+AC38)</f>
        <v>0.72996597786098971</v>
      </c>
      <c r="AD42">
        <f>E16/(E16+AD38)</f>
        <v>0.71895718624172922</v>
      </c>
      <c r="AE42">
        <f>F16/(F16+AE38)</f>
        <v>0.72569406984264051</v>
      </c>
      <c r="AH42" s="9"/>
    </row>
    <row r="43" spans="1:34" x14ac:dyDescent="0.3">
      <c r="B43" t="str">
        <f ca="1">_xlfn.FORMULATEXT(B39)</f>
        <v>=MMULT(B31:E34,TRANSPOSE(B31:E34))</v>
      </c>
      <c r="O43" s="10"/>
      <c r="R43" s="9"/>
      <c r="AA43" s="7" t="str">
        <f ca="1">_xlfn.FORMULATEXT(AA42)</f>
        <v>=B16/(B16+AA38)</v>
      </c>
      <c r="AB43" s="6"/>
      <c r="AC43" s="6"/>
      <c r="AD43" s="6"/>
      <c r="AE43" s="6"/>
      <c r="AF43" s="6"/>
      <c r="AG43" s="6"/>
      <c r="AH43" s="5"/>
    </row>
    <row r="44" spans="1:34" x14ac:dyDescent="0.3">
      <c r="O44" s="10" t="s">
        <v>69</v>
      </c>
      <c r="R44" s="9"/>
    </row>
    <row r="45" spans="1:34" x14ac:dyDescent="0.3">
      <c r="O45" s="10" cm="1">
        <f t="array" ref="O45:R48">B12:E15-O38:R41</f>
        <v>1.303892178264876E-2</v>
      </c>
      <c r="P45">
        <v>-3.308858200273268E-3</v>
      </c>
      <c r="Q45">
        <v>-2.6795035933546707E-3</v>
      </c>
      <c r="R45" s="93">
        <v>1.2542370582004025E-2</v>
      </c>
    </row>
    <row r="46" spans="1:34" x14ac:dyDescent="0.3">
      <c r="O46" s="10">
        <v>-3.308858200273268E-3</v>
      </c>
      <c r="P46">
        <v>1.9413575893078128E-2</v>
      </c>
      <c r="Q46">
        <v>2.0090915566526757E-2</v>
      </c>
      <c r="R46" s="93">
        <v>-4.1575789902865701E-3</v>
      </c>
    </row>
    <row r="47" spans="1:34" x14ac:dyDescent="0.3">
      <c r="O47" s="10">
        <v>-2.6795035933546707E-3</v>
      </c>
      <c r="P47">
        <v>2.0090915566526757E-2</v>
      </c>
      <c r="Q47">
        <v>2.0836354946769275E-2</v>
      </c>
      <c r="R47" s="93">
        <v>-3.5961186882083052E-3</v>
      </c>
    </row>
    <row r="48" spans="1:34" x14ac:dyDescent="0.3">
      <c r="O48" s="10">
        <v>1.2542370582004025E-2</v>
      </c>
      <c r="P48">
        <v>-4.1575789902865701E-3</v>
      </c>
      <c r="Q48">
        <v>-3.5961186882083052E-3</v>
      </c>
      <c r="R48" s="93">
        <v>1.211588146604059E-2</v>
      </c>
    </row>
    <row r="49" spans="15:18" x14ac:dyDescent="0.3">
      <c r="O49" s="7" t="str">
        <f ca="1">_xlfn.FORMULATEXT(O45)</f>
        <v>=B12:E15-O38:R41</v>
      </c>
      <c r="P49" s="6"/>
      <c r="Q49" s="6"/>
      <c r="R49" s="5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371A5-047D-497C-8201-88DC82F50487}">
  <dimension ref="A1:M126"/>
  <sheetViews>
    <sheetView workbookViewId="0">
      <selection activeCell="AQ30" sqref="AQ30"/>
    </sheetView>
  </sheetViews>
  <sheetFormatPr defaultRowHeight="14.4" x14ac:dyDescent="0.3"/>
  <sheetData>
    <row r="1" spans="1:11" x14ac:dyDescent="0.3">
      <c r="B1" s="8" t="s">
        <v>14</v>
      </c>
      <c r="C1" s="8" t="s">
        <v>9</v>
      </c>
      <c r="D1" s="8" t="s">
        <v>8</v>
      </c>
      <c r="E1" s="8" t="s">
        <v>6</v>
      </c>
      <c r="G1" t="s">
        <v>128</v>
      </c>
    </row>
    <row r="2" spans="1:11" x14ac:dyDescent="0.3">
      <c r="A2" t="s">
        <v>31</v>
      </c>
      <c r="B2" s="8">
        <v>5</v>
      </c>
      <c r="C2" s="8">
        <v>4</v>
      </c>
      <c r="D2" s="8">
        <v>2</v>
      </c>
      <c r="E2" s="8">
        <v>1</v>
      </c>
    </row>
    <row r="3" spans="1:11" x14ac:dyDescent="0.3">
      <c r="A3" t="s">
        <v>29</v>
      </c>
      <c r="B3" s="8">
        <v>4</v>
      </c>
      <c r="C3" s="8">
        <v>5</v>
      </c>
      <c r="D3" s="8">
        <v>2</v>
      </c>
      <c r="E3" s="8">
        <v>2</v>
      </c>
    </row>
    <row r="4" spans="1:11" x14ac:dyDescent="0.3">
      <c r="A4" t="s">
        <v>27</v>
      </c>
      <c r="B4" s="8">
        <v>1</v>
      </c>
      <c r="C4" s="8">
        <v>2</v>
      </c>
      <c r="D4" s="8">
        <v>4</v>
      </c>
      <c r="E4" s="8">
        <v>5</v>
      </c>
    </row>
    <row r="5" spans="1:11" x14ac:dyDescent="0.3">
      <c r="A5" t="s">
        <v>25</v>
      </c>
      <c r="B5" s="8">
        <v>2</v>
      </c>
      <c r="C5" s="8">
        <v>1</v>
      </c>
      <c r="D5" s="8">
        <v>5</v>
      </c>
      <c r="E5" s="8">
        <v>4</v>
      </c>
      <c r="H5" t="str">
        <f t="array" ref="H5:K5">B1:E1</f>
        <v>M1</v>
      </c>
      <c r="I5" t="str">
        <v>M2</v>
      </c>
      <c r="J5" t="str">
        <v>M3</v>
      </c>
      <c r="K5" t="str">
        <v>M4</v>
      </c>
    </row>
    <row r="6" spans="1:11" x14ac:dyDescent="0.3">
      <c r="A6" t="s">
        <v>23</v>
      </c>
      <c r="B6" s="8">
        <v>4</v>
      </c>
      <c r="C6" s="8">
        <v>4</v>
      </c>
      <c r="D6" s="8">
        <v>3</v>
      </c>
      <c r="E6" s="8">
        <v>2</v>
      </c>
      <c r="G6" t="s">
        <v>16</v>
      </c>
      <c r="H6" s="118">
        <f>AVERAGE(B2:B7)</f>
        <v>3</v>
      </c>
      <c r="I6" s="120">
        <f>AVERAGE(C2:C7)</f>
        <v>3</v>
      </c>
      <c r="J6" s="120">
        <f>AVERAGE(D2:D7)</f>
        <v>3.3333333333333335</v>
      </c>
      <c r="K6" s="117">
        <f>AVERAGE(E2:E7)</f>
        <v>3.1666666666666665</v>
      </c>
    </row>
    <row r="7" spans="1:11" x14ac:dyDescent="0.3">
      <c r="A7" t="s">
        <v>22</v>
      </c>
      <c r="B7" s="8">
        <v>2</v>
      </c>
      <c r="C7" s="8">
        <v>2</v>
      </c>
      <c r="D7" s="8">
        <v>4</v>
      </c>
      <c r="E7" s="8">
        <v>5</v>
      </c>
      <c r="G7" t="s">
        <v>127</v>
      </c>
      <c r="H7" s="116">
        <f>_xlfn.STDEV.S(B2:B7)</f>
        <v>1.5491933384829668</v>
      </c>
      <c r="I7">
        <f>_xlfn.STDEV.S(C2:C7)</f>
        <v>1.5491933384829668</v>
      </c>
      <c r="J7">
        <f>_xlfn.STDEV.S(D2:D7)</f>
        <v>1.2110601416389963</v>
      </c>
      <c r="K7" s="115">
        <f>_xlfn.STDEV.S(E2:E7)</f>
        <v>1.7224014243685086</v>
      </c>
    </row>
    <row r="8" spans="1:11" x14ac:dyDescent="0.3">
      <c r="G8" t="s">
        <v>126</v>
      </c>
      <c r="H8" s="116">
        <f>SKEW(B2:B7)</f>
        <v>0</v>
      </c>
      <c r="I8">
        <f>SKEW(C2:C7)</f>
        <v>0</v>
      </c>
      <c r="J8">
        <f>SKEW(D2:D7)</f>
        <v>7.5065711258614873E-2</v>
      </c>
      <c r="K8" s="115">
        <f>SKEW(E2:E7)</f>
        <v>-2.6093696619646046E-2</v>
      </c>
    </row>
    <row r="9" spans="1:11" x14ac:dyDescent="0.3">
      <c r="G9" t="s">
        <v>125</v>
      </c>
      <c r="H9" s="114">
        <f>KURT(B2:B7)</f>
        <v>-1.8750000000000018</v>
      </c>
      <c r="I9" s="119">
        <f>KURT(C2:C7)</f>
        <v>-1.8750000000000018</v>
      </c>
      <c r="J9" s="119">
        <f>KURT(D2:D7)</f>
        <v>-1.5495867768595062</v>
      </c>
      <c r="K9" s="113">
        <f>KURT(E2:E7)</f>
        <v>-2.3671253629592215</v>
      </c>
    </row>
    <row r="11" spans="1:11" x14ac:dyDescent="0.3">
      <c r="G11" t="s">
        <v>124</v>
      </c>
    </row>
    <row r="13" spans="1:11" x14ac:dyDescent="0.3">
      <c r="H13" t="str">
        <f t="array" ref="H13:K13">B1:E1</f>
        <v>M1</v>
      </c>
      <c r="I13" t="str">
        <v>M2</v>
      </c>
      <c r="J13" t="str">
        <v>M3</v>
      </c>
      <c r="K13" t="str">
        <v>M4</v>
      </c>
    </row>
    <row r="14" spans="1:11" x14ac:dyDescent="0.3">
      <c r="G14" t="str">
        <f t="array" ref="G14:G17">TRANSPOSE(B1:E1)</f>
        <v>M1</v>
      </c>
      <c r="H14" s="118">
        <f t="array" ref="H14:K17">[2]!CORR(B2:E7)</f>
        <v>0.99999999999999978</v>
      </c>
      <c r="I14" s="120">
        <v>0.83333333333333315</v>
      </c>
      <c r="J14" s="120">
        <v>-0.85280286542244155</v>
      </c>
      <c r="K14" s="117">
        <v>-0.97439119569461963</v>
      </c>
    </row>
    <row r="15" spans="1:11" x14ac:dyDescent="0.3">
      <c r="G15" t="str">
        <v>M2</v>
      </c>
      <c r="H15" s="116">
        <v>0.83333333333333315</v>
      </c>
      <c r="I15">
        <v>0.99999999999999978</v>
      </c>
      <c r="J15">
        <v>-0.95940322360024677</v>
      </c>
      <c r="K15" s="115">
        <v>-0.82448485789544734</v>
      </c>
    </row>
    <row r="16" spans="1:11" x14ac:dyDescent="0.3">
      <c r="G16" t="str">
        <v>M3</v>
      </c>
      <c r="H16" s="116">
        <v>-0.85280286542244155</v>
      </c>
      <c r="I16">
        <v>-0.95940322360024677</v>
      </c>
      <c r="J16">
        <v>0.99999999999999978</v>
      </c>
      <c r="K16" s="115">
        <v>0.83096360373077083</v>
      </c>
    </row>
    <row r="17" spans="7:13" x14ac:dyDescent="0.3">
      <c r="G17" t="str">
        <v>M4</v>
      </c>
      <c r="H17" s="114">
        <v>-0.97439119569461963</v>
      </c>
      <c r="I17" s="119">
        <v>-0.82448485789544734</v>
      </c>
      <c r="J17" s="119">
        <v>0.83096360373077083</v>
      </c>
      <c r="K17" s="113">
        <v>0.99999999999999978</v>
      </c>
    </row>
    <row r="18" spans="7:13" x14ac:dyDescent="0.3">
      <c r="H18">
        <f>SUMSQ(H14:H17)-1</f>
        <v>2.3711553739643616</v>
      </c>
      <c r="I18">
        <f>SUMSQ(I14:I17)-1</f>
        <v>2.2946742707978647</v>
      </c>
      <c r="J18">
        <f>SUMSQ(J14:J17)-1</f>
        <v>2.3382277834525009</v>
      </c>
      <c r="K18">
        <f>SUMSQ(K14:K17)-1</f>
        <v>2.3197139938712956</v>
      </c>
      <c r="L18">
        <f>SUM(H18:K18)</f>
        <v>9.3237714220860219</v>
      </c>
    </row>
    <row r="20" spans="7:13" x14ac:dyDescent="0.3">
      <c r="G20" t="s">
        <v>123</v>
      </c>
    </row>
    <row r="22" spans="7:13" x14ac:dyDescent="0.3">
      <c r="H22" t="str">
        <f t="array" ref="H22:K22">B1:E1</f>
        <v>M1</v>
      </c>
      <c r="I22" t="str">
        <v>M2</v>
      </c>
      <c r="J22" t="str">
        <v>M3</v>
      </c>
      <c r="K22" t="str">
        <v>M4</v>
      </c>
      <c r="M22" t="s">
        <v>122</v>
      </c>
    </row>
    <row r="23" spans="7:13" x14ac:dyDescent="0.3">
      <c r="G23" t="str">
        <f t="array" ref="G23:G26">TRANSPOSE(B1:E1)</f>
        <v>M1</v>
      </c>
      <c r="H23" s="118">
        <f t="array" ref="H23:K26">MINVERSE(H14:K17)</f>
        <v>22.897959183673461</v>
      </c>
      <c r="I23" s="120">
        <v>2.4489795918367361</v>
      </c>
      <c r="J23" s="120">
        <v>5.3604751540839217</v>
      </c>
      <c r="K23" s="117">
        <v>19.876356666963712</v>
      </c>
      <c r="M23" s="123">
        <f t="array" ref="M23:M26">SQRT([2]!DIAG(H23:K26))</f>
        <v>4.7851812069840634</v>
      </c>
    </row>
    <row r="24" spans="7:13" x14ac:dyDescent="0.3">
      <c r="G24" t="str">
        <v>M2</v>
      </c>
      <c r="H24" s="116">
        <v>2.4489795918367081</v>
      </c>
      <c r="I24">
        <v>13.224489795918373</v>
      </c>
      <c r="J24">
        <v>12.061069096688827</v>
      </c>
      <c r="K24" s="115">
        <v>3.267346301418665</v>
      </c>
      <c r="M24" s="122">
        <v>3.6365491603879594</v>
      </c>
    </row>
    <row r="25" spans="7:13" x14ac:dyDescent="0.3">
      <c r="G25" t="str">
        <v>M3</v>
      </c>
      <c r="H25" s="116">
        <v>5.3604751540838977</v>
      </c>
      <c r="I25">
        <v>12.061069096688826</v>
      </c>
      <c r="J25">
        <v>14.666666666666677</v>
      </c>
      <c r="K25" s="115">
        <v>2.9799024470784534</v>
      </c>
      <c r="M25" s="122">
        <v>3.8297084310253537</v>
      </c>
    </row>
    <row r="26" spans="7:13" x14ac:dyDescent="0.3">
      <c r="G26" t="str">
        <v>M4</v>
      </c>
      <c r="H26" s="114">
        <v>19.876356666963709</v>
      </c>
      <c r="I26" s="119">
        <v>3.2673463014186939</v>
      </c>
      <c r="J26" s="119">
        <v>2.9799024470784801</v>
      </c>
      <c r="K26" s="113">
        <v>20.58503401360543</v>
      </c>
      <c r="M26" s="121">
        <v>4.5370732872200144</v>
      </c>
    </row>
    <row r="28" spans="7:13" x14ac:dyDescent="0.3">
      <c r="G28" t="s">
        <v>121</v>
      </c>
    </row>
    <row r="30" spans="7:13" x14ac:dyDescent="0.3">
      <c r="H30" t="str">
        <f t="array" ref="H30:K30">B1:E1</f>
        <v>M1</v>
      </c>
      <c r="I30" t="str">
        <v>M2</v>
      </c>
      <c r="J30" t="str">
        <v>M3</v>
      </c>
      <c r="K30" t="str">
        <v>M4</v>
      </c>
    </row>
    <row r="31" spans="7:13" x14ac:dyDescent="0.3">
      <c r="G31" t="str">
        <f t="array" ref="G31:G34">TRANSPOSE(B1:E1)</f>
        <v>M1</v>
      </c>
      <c r="H31" s="118">
        <f t="array" ref="H31:K34">-H23:K26/MMULT(M23:M26,TRANSPOSE(M23:M26))+2*[2]!Identity()</f>
        <v>0.99999999999999978</v>
      </c>
      <c r="I31" s="120">
        <v>-0.14073344364024978</v>
      </c>
      <c r="J31" s="120">
        <v>-0.29250896965085238</v>
      </c>
      <c r="K31" s="117">
        <v>-0.91550895846820957</v>
      </c>
    </row>
    <row r="32" spans="7:13" x14ac:dyDescent="0.3">
      <c r="G32" t="str">
        <v>M2</v>
      </c>
      <c r="H32" s="116">
        <v>-0.14073344364024817</v>
      </c>
      <c r="I32">
        <v>1</v>
      </c>
      <c r="J32">
        <v>-0.86602540378443882</v>
      </c>
      <c r="K32" s="115">
        <v>-0.19802950859533314</v>
      </c>
    </row>
    <row r="33" spans="7:12" x14ac:dyDescent="0.3">
      <c r="G33" t="str">
        <v>M3</v>
      </c>
      <c r="H33" s="116">
        <v>-0.29250896965085105</v>
      </c>
      <c r="I33">
        <v>-0.86602540378443871</v>
      </c>
      <c r="J33">
        <v>1</v>
      </c>
      <c r="K33" s="115">
        <v>-0.17149858514250735</v>
      </c>
    </row>
    <row r="34" spans="7:12" x14ac:dyDescent="0.3">
      <c r="G34" t="str">
        <v>M4</v>
      </c>
      <c r="H34" s="114">
        <v>-0.91550895846820946</v>
      </c>
      <c r="I34" s="119">
        <v>-0.19802950859533489</v>
      </c>
      <c r="J34" s="119">
        <v>-0.17149858514250887</v>
      </c>
      <c r="K34" s="113">
        <v>0.99999999999999978</v>
      </c>
    </row>
    <row r="35" spans="7:12" x14ac:dyDescent="0.3">
      <c r="H35">
        <f>SUMSQ(H31:H34)-1</f>
        <v>0.94352405252059057</v>
      </c>
      <c r="I35">
        <f>SUMSQ(I31:I34)-1</f>
        <v>0.80902158843335337</v>
      </c>
      <c r="J35">
        <f>SUMSQ(J31:J34)-1</f>
        <v>0.86497326203208602</v>
      </c>
      <c r="K35">
        <f>SUMSQ(K31:K34)-1</f>
        <v>0.90678410401593634</v>
      </c>
      <c r="L35">
        <f>SUM(H35:K35)</f>
        <v>3.5243030070019663</v>
      </c>
    </row>
    <row r="37" spans="7:12" x14ac:dyDescent="0.3">
      <c r="G37" t="s">
        <v>64</v>
      </c>
    </row>
    <row r="39" spans="7:12" x14ac:dyDescent="0.3">
      <c r="H39" t="str">
        <f t="array" ref="H39:K39">B1:E1</f>
        <v>M1</v>
      </c>
      <c r="I39" t="str">
        <v>M2</v>
      </c>
      <c r="J39" t="str">
        <v>M3</v>
      </c>
      <c r="K39" t="str">
        <v>M4</v>
      </c>
    </row>
    <row r="40" spans="7:12" x14ac:dyDescent="0.3">
      <c r="H40" s="132">
        <f t="array" ref="H40:L40">H18:L18/(H18:L18+H35:L35)</f>
        <v>0.71534983293357279</v>
      </c>
      <c r="I40" s="131">
        <v>0.73933606090071369</v>
      </c>
      <c r="J40" s="131">
        <v>0.72996597786098971</v>
      </c>
      <c r="K40" s="131">
        <v>0.71895718624172922</v>
      </c>
      <c r="L40" s="133">
        <v>0.72569406984264051</v>
      </c>
    </row>
    <row r="42" spans="7:12" x14ac:dyDescent="0.3">
      <c r="G42" t="s">
        <v>120</v>
      </c>
    </row>
    <row r="44" spans="7:12" x14ac:dyDescent="0.3">
      <c r="H44" s="132">
        <f t="array" ref="H44:K48">[2]!eVECTORS(H14:K17,100,FALSE)</f>
        <v>3.6377623911311954</v>
      </c>
      <c r="I44" s="131">
        <v>0.29683287478026638</v>
      </c>
      <c r="J44" s="131">
        <v>4.2889677449110965E-2</v>
      </c>
      <c r="K44" s="130">
        <v>2.2515056639427933E-2</v>
      </c>
    </row>
    <row r="45" spans="7:12" x14ac:dyDescent="0.3">
      <c r="H45" s="116">
        <v>-0.50323718307556398</v>
      </c>
      <c r="I45">
        <v>-0.47048671213652926</v>
      </c>
      <c r="J45">
        <v>-0.24365874904384666</v>
      </c>
      <c r="K45" s="115">
        <v>-0.68266024147266613</v>
      </c>
    </row>
    <row r="46" spans="7:12" x14ac:dyDescent="0.3">
      <c r="H46" s="116">
        <v>-0.49706368677524926</v>
      </c>
      <c r="I46">
        <v>0.524940673473695</v>
      </c>
      <c r="J46">
        <v>0.65216346299897932</v>
      </c>
      <c r="K46" s="115">
        <v>-0.22813986532729841</v>
      </c>
    </row>
    <row r="47" spans="7:12" x14ac:dyDescent="0.3">
      <c r="H47" s="116">
        <v>0.5006861603278816</v>
      </c>
      <c r="I47">
        <v>-0.47589397007768081</v>
      </c>
      <c r="J47">
        <v>0.66700648915363159</v>
      </c>
      <c r="K47" s="115">
        <v>-0.27917851193594906</v>
      </c>
    </row>
    <row r="48" spans="7:12" x14ac:dyDescent="0.3">
      <c r="H48" s="114">
        <v>0.49899238242250876</v>
      </c>
      <c r="I48" s="119">
        <v>0.52593200347539748</v>
      </c>
      <c r="J48" s="119">
        <v>-0.26535933179466875</v>
      </c>
      <c r="K48" s="113">
        <v>-0.63559936676663864</v>
      </c>
    </row>
    <row r="50" spans="7:13" x14ac:dyDescent="0.3">
      <c r="G50" t="s">
        <v>119</v>
      </c>
    </row>
    <row r="52" spans="7:13" x14ac:dyDescent="0.3">
      <c r="H52">
        <v>1</v>
      </c>
      <c r="I52">
        <f>H52+1</f>
        <v>2</v>
      </c>
      <c r="J52">
        <f>I52+1</f>
        <v>3</v>
      </c>
      <c r="K52">
        <f>J52+1</f>
        <v>4</v>
      </c>
      <c r="M52" t="s">
        <v>95</v>
      </c>
    </row>
    <row r="53" spans="7:13" x14ac:dyDescent="0.3">
      <c r="G53" t="str">
        <f t="array" ref="G53:G56">TRANSPOSE(B1:E1)</f>
        <v>M1</v>
      </c>
      <c r="H53" s="118">
        <f t="array" ref="H53:K56">H45:K48*SQRT(ABS(H44:K44))</f>
        <v>-0.95982020296986836</v>
      </c>
      <c r="I53" s="120">
        <v>-0.25633231592647782</v>
      </c>
      <c r="J53" s="120">
        <v>-5.0461295992177684E-2</v>
      </c>
      <c r="K53" s="117">
        <v>-0.10243329238796432</v>
      </c>
      <c r="M53" s="123">
        <f>SUMSQ(H53:K53)</f>
        <v>0.99999999999999933</v>
      </c>
    </row>
    <row r="54" spans="7:13" x14ac:dyDescent="0.3">
      <c r="G54" t="str">
        <v>M2</v>
      </c>
      <c r="H54" s="116">
        <v>-0.94804554348268966</v>
      </c>
      <c r="I54">
        <v>0.28600012515649931</v>
      </c>
      <c r="J54">
        <v>0.13506189977095015</v>
      </c>
      <c r="K54" s="115">
        <v>-3.4232427949823216E-2</v>
      </c>
      <c r="M54" s="122">
        <f>SUMSQ(H54:K54)</f>
        <v>0.99999999999999967</v>
      </c>
    </row>
    <row r="55" spans="7:13" x14ac:dyDescent="0.3">
      <c r="G55" t="str">
        <v>M3</v>
      </c>
      <c r="H55" s="116">
        <v>0.95495465794694911</v>
      </c>
      <c r="I55">
        <v>-0.25927831825792091</v>
      </c>
      <c r="J55">
        <v>0.13813586423620627</v>
      </c>
      <c r="K55" s="115">
        <v>-4.1890786081053608E-2</v>
      </c>
      <c r="M55" s="122">
        <f>SUMSQ(H55:K55)</f>
        <v>1.0000000000000027</v>
      </c>
    </row>
    <row r="56" spans="7:13" x14ac:dyDescent="0.3">
      <c r="G56" t="str">
        <v>M4</v>
      </c>
      <c r="H56" s="114">
        <v>0.95172412906793191</v>
      </c>
      <c r="I56" s="119">
        <v>0.28654022524568112</v>
      </c>
      <c r="J56" s="119">
        <v>-5.4955448300227687E-2</v>
      </c>
      <c r="K56" s="113">
        <v>-9.5371799648330549E-2</v>
      </c>
      <c r="M56" s="121">
        <f>SUMSQ(H56:K56)</f>
        <v>0.99999999999999944</v>
      </c>
    </row>
    <row r="58" spans="7:13" x14ac:dyDescent="0.3">
      <c r="G58" t="s">
        <v>118</v>
      </c>
    </row>
    <row r="60" spans="7:13" x14ac:dyDescent="0.3">
      <c r="H60" s="8" t="s">
        <v>117</v>
      </c>
      <c r="I60" s="8" t="s">
        <v>106</v>
      </c>
      <c r="J60" s="8" t="s">
        <v>105</v>
      </c>
    </row>
    <row r="61" spans="7:13" x14ac:dyDescent="0.3">
      <c r="H61" s="118">
        <f t="array" ref="H61:H64">TRANSPOSE(H44:K44)</f>
        <v>3.6377623911311954</v>
      </c>
      <c r="I61" s="129">
        <f>H61/H$65</f>
        <v>0.90944059778279884</v>
      </c>
      <c r="J61" s="128">
        <f>I61</f>
        <v>0.90944059778279884</v>
      </c>
    </row>
    <row r="62" spans="7:13" x14ac:dyDescent="0.3">
      <c r="H62" s="116">
        <v>0.29683287478026638</v>
      </c>
      <c r="I62" s="127">
        <f>H62/H$65</f>
        <v>7.4208218695066594E-2</v>
      </c>
      <c r="J62" s="126">
        <f>J61+I62</f>
        <v>0.9836488164778654</v>
      </c>
    </row>
    <row r="63" spans="7:13" x14ac:dyDescent="0.3">
      <c r="H63" s="116">
        <v>4.2889677449110965E-2</v>
      </c>
      <c r="I63" s="127">
        <f>H63/H$65</f>
        <v>1.0722419362277741E-2</v>
      </c>
      <c r="J63" s="126">
        <f>J62+I63</f>
        <v>0.99437123584014309</v>
      </c>
    </row>
    <row r="64" spans="7:13" x14ac:dyDescent="0.3">
      <c r="H64" s="114">
        <v>2.2515056639427933E-2</v>
      </c>
      <c r="I64" s="125">
        <f>H64/H$65</f>
        <v>5.6287641598569832E-3</v>
      </c>
      <c r="J64" s="124">
        <f>J63+I64</f>
        <v>1</v>
      </c>
    </row>
    <row r="65" spans="7:12" x14ac:dyDescent="0.3">
      <c r="H65">
        <f>SUM(H61:H64)</f>
        <v>4</v>
      </c>
    </row>
    <row r="67" spans="7:12" x14ac:dyDescent="0.3">
      <c r="G67" t="s">
        <v>116</v>
      </c>
    </row>
    <row r="69" spans="7:12" x14ac:dyDescent="0.3">
      <c r="H69">
        <v>1</v>
      </c>
      <c r="I69">
        <f>H69+1</f>
        <v>2</v>
      </c>
      <c r="K69" t="s">
        <v>95</v>
      </c>
      <c r="L69" t="s">
        <v>114</v>
      </c>
    </row>
    <row r="70" spans="7:12" x14ac:dyDescent="0.3">
      <c r="G70" t="str">
        <f t="array" ref="G70:G73">TRANSPOSE(B1:E1)</f>
        <v>M1</v>
      </c>
      <c r="H70" s="118">
        <f t="array" ref="H70:I73">H53:I56</f>
        <v>-0.95982020296986836</v>
      </c>
      <c r="I70" s="117">
        <v>-0.25633231592647782</v>
      </c>
      <c r="K70" s="123">
        <f>SUMSQ(H70:I70)</f>
        <v>0.98696107821735102</v>
      </c>
      <c r="L70" s="123">
        <f>1-K70</f>
        <v>1.3038921782648982E-2</v>
      </c>
    </row>
    <row r="71" spans="7:12" x14ac:dyDescent="0.3">
      <c r="G71" t="str">
        <v>M2</v>
      </c>
      <c r="H71" s="116">
        <v>-0.94804554348268966</v>
      </c>
      <c r="I71" s="115">
        <v>0.28600012515649931</v>
      </c>
      <c r="K71" s="122">
        <f>SUMSQ(H71:I71)</f>
        <v>0.98058642410692165</v>
      </c>
      <c r="L71" s="122">
        <f>1-K71</f>
        <v>1.941357589307835E-2</v>
      </c>
    </row>
    <row r="72" spans="7:12" x14ac:dyDescent="0.3">
      <c r="G72" t="str">
        <v>M3</v>
      </c>
      <c r="H72" s="116">
        <v>0.95495465794694911</v>
      </c>
      <c r="I72" s="115">
        <v>-0.25927831825792091</v>
      </c>
      <c r="K72" s="122">
        <f>SUMSQ(H72:I72)</f>
        <v>0.97916364505323039</v>
      </c>
      <c r="L72" s="122">
        <f>1-K72</f>
        <v>2.0836354946769609E-2</v>
      </c>
    </row>
    <row r="73" spans="7:12" x14ac:dyDescent="0.3">
      <c r="G73" t="str">
        <v>M4</v>
      </c>
      <c r="H73" s="114">
        <v>0.95172412906793191</v>
      </c>
      <c r="I73" s="113">
        <v>0.28654022524568112</v>
      </c>
      <c r="K73" s="121">
        <f>SUMSQ(H73:I73)</f>
        <v>0.98788411853395919</v>
      </c>
      <c r="L73" s="121">
        <f>1-K73</f>
        <v>1.2115881466040812E-2</v>
      </c>
    </row>
    <row r="74" spans="7:12" x14ac:dyDescent="0.3">
      <c r="H74">
        <f>SUMSQ(H70:H73)</f>
        <v>3.6377623911311963</v>
      </c>
      <c r="I74">
        <f>SUMSQ(I70:I73)</f>
        <v>0.29683287478026632</v>
      </c>
      <c r="K74">
        <f>SUM(K70:K73)</f>
        <v>3.934595265911462</v>
      </c>
      <c r="L74">
        <f>SUM(L70:L73)</f>
        <v>6.5404734088537753E-2</v>
      </c>
    </row>
    <row r="76" spans="7:12" x14ac:dyDescent="0.3">
      <c r="G76" t="s">
        <v>115</v>
      </c>
    </row>
    <row r="78" spans="7:12" x14ac:dyDescent="0.3">
      <c r="H78">
        <v>1</v>
      </c>
      <c r="I78">
        <f>H78+1</f>
        <v>2</v>
      </c>
      <c r="K78" t="s">
        <v>95</v>
      </c>
      <c r="L78" t="s">
        <v>114</v>
      </c>
    </row>
    <row r="79" spans="7:12" x14ac:dyDescent="0.3">
      <c r="G79" t="str">
        <f t="array" ref="G79:G82">TRANSPOSE(B1:E1)</f>
        <v>M1</v>
      </c>
      <c r="H79" s="118">
        <f t="array" ref="H79:I82">[2]!VARIMAX(H70:I73,100)</f>
        <v>-0.86046890951756794</v>
      </c>
      <c r="I79" s="117">
        <v>0.49654237882682128</v>
      </c>
      <c r="K79" s="123">
        <f>SUMSQ(H79:I79)</f>
        <v>0.98696107821735102</v>
      </c>
      <c r="L79" s="123">
        <f>1-K79</f>
        <v>1.3038921782648982E-2</v>
      </c>
    </row>
    <row r="80" spans="7:12" x14ac:dyDescent="0.3">
      <c r="G80" t="str">
        <v>M2</v>
      </c>
      <c r="H80" s="116">
        <v>-0.46904817256164494</v>
      </c>
      <c r="I80" s="115">
        <v>0.87211251333959372</v>
      </c>
      <c r="K80" s="122">
        <f>SUMSQ(H80:I80)</f>
        <v>0.98058642410692165</v>
      </c>
      <c r="L80" s="122">
        <f>1-K80</f>
        <v>1.941357589307835E-2</v>
      </c>
    </row>
    <row r="81" spans="7:12" x14ac:dyDescent="0.3">
      <c r="G81" t="str">
        <v>M3</v>
      </c>
      <c r="H81" s="116">
        <v>0.4928141759596425</v>
      </c>
      <c r="I81" s="115">
        <v>-0.85807798772981525</v>
      </c>
      <c r="K81" s="122">
        <f>SUMSQ(H81:I81)</f>
        <v>0.9791636450532305</v>
      </c>
      <c r="L81" s="122">
        <f>1-K81</f>
        <v>2.0836354946769498E-2</v>
      </c>
    </row>
    <row r="82" spans="7:12" x14ac:dyDescent="0.3">
      <c r="G82" t="str">
        <v>M4</v>
      </c>
      <c r="H82" s="114">
        <v>0.87607603355322849</v>
      </c>
      <c r="I82" s="113">
        <v>-0.46944105270800685</v>
      </c>
      <c r="K82" s="121">
        <f>SUMSQ(H82:I82)</f>
        <v>0.98788411853395919</v>
      </c>
      <c r="L82" s="121">
        <f>1-K82</f>
        <v>1.2115881466040812E-2</v>
      </c>
    </row>
    <row r="83" spans="7:12" x14ac:dyDescent="0.3">
      <c r="H83">
        <f>SUMSQ(H79:H82)</f>
        <v>1.9707879610229102</v>
      </c>
      <c r="I83">
        <f>SUMSQ(I79:I82)</f>
        <v>1.9638073048885523</v>
      </c>
      <c r="K83">
        <f>SUM(K79:K82)</f>
        <v>3.9345952659114625</v>
      </c>
      <c r="L83">
        <f>SUM(L79:L82)</f>
        <v>6.5404734088537642E-2</v>
      </c>
    </row>
    <row r="85" spans="7:12" x14ac:dyDescent="0.3">
      <c r="G85" t="s">
        <v>113</v>
      </c>
    </row>
    <row r="87" spans="7:12" x14ac:dyDescent="0.3">
      <c r="H87" t="str">
        <f t="array" ref="H87:K87">B1:E1</f>
        <v>M1</v>
      </c>
      <c r="I87" t="str">
        <v>M2</v>
      </c>
      <c r="J87" t="str">
        <v>M3</v>
      </c>
      <c r="K87" t="str">
        <v>M4</v>
      </c>
    </row>
    <row r="88" spans="7:12" x14ac:dyDescent="0.3">
      <c r="G88" t="str">
        <f t="array" ref="G88:G91">TRANSPOSE(B1:E1)</f>
        <v>M1</v>
      </c>
      <c r="H88" s="118">
        <f t="array" ref="H88:K91">MMULT(H70:I73,TRANSPOSE(H70:I73))</f>
        <v>0.98696107821735102</v>
      </c>
      <c r="I88" s="120">
        <v>0.83664219153360642</v>
      </c>
      <c r="J88" s="120">
        <v>-0.85012336182908665</v>
      </c>
      <c r="K88" s="117">
        <v>-0.98693356627662365</v>
      </c>
    </row>
    <row r="89" spans="7:12" x14ac:dyDescent="0.3">
      <c r="G89" t="str">
        <v>M2</v>
      </c>
      <c r="H89" s="116">
        <v>0.83664219153360642</v>
      </c>
      <c r="I89">
        <v>0.98058642410692165</v>
      </c>
      <c r="J89">
        <v>-0.97949413916677341</v>
      </c>
      <c r="K89" s="115">
        <v>-0.82032727890516077</v>
      </c>
    </row>
    <row r="90" spans="7:12" x14ac:dyDescent="0.3">
      <c r="G90" t="str">
        <v>M3</v>
      </c>
      <c r="H90" s="116">
        <v>-0.85012336182908665</v>
      </c>
      <c r="I90">
        <v>-0.97949413916677341</v>
      </c>
      <c r="J90">
        <v>0.97916364505323039</v>
      </c>
      <c r="K90" s="115">
        <v>0.83455972241897891</v>
      </c>
    </row>
    <row r="91" spans="7:12" x14ac:dyDescent="0.3">
      <c r="G91" t="str">
        <v>M4</v>
      </c>
      <c r="H91" s="114">
        <v>-0.98693356627662365</v>
      </c>
      <c r="I91" s="119">
        <v>-0.82032727890516077</v>
      </c>
      <c r="J91" s="119">
        <v>0.83455972241897891</v>
      </c>
      <c r="K91" s="113">
        <v>0.98788411853395919</v>
      </c>
    </row>
    <row r="93" spans="7:12" x14ac:dyDescent="0.3">
      <c r="G93" t="s">
        <v>112</v>
      </c>
    </row>
    <row r="95" spans="7:12" x14ac:dyDescent="0.3">
      <c r="H95" t="str">
        <f t="array" ref="H95:K95">B1:E1</f>
        <v>M1</v>
      </c>
      <c r="I95" t="str">
        <v>M2</v>
      </c>
      <c r="J95" t="str">
        <v>M3</v>
      </c>
      <c r="K95" t="str">
        <v>M4</v>
      </c>
    </row>
    <row r="96" spans="7:12" x14ac:dyDescent="0.3">
      <c r="G96" t="str">
        <f t="array" ref="G96:G99">TRANSPOSE(B1:E1)</f>
        <v>M1</v>
      </c>
      <c r="H96" s="118">
        <f t="array" ref="H96:K99">H14:K17-H88:K91</f>
        <v>1.303892178264876E-2</v>
      </c>
      <c r="I96" s="120">
        <v>-3.308858200273268E-3</v>
      </c>
      <c r="J96" s="120">
        <v>-2.6795035933548927E-3</v>
      </c>
      <c r="K96" s="117">
        <v>1.2542370582004025E-2</v>
      </c>
    </row>
    <row r="97" spans="7:11" x14ac:dyDescent="0.3">
      <c r="G97" t="str">
        <v>M2</v>
      </c>
      <c r="H97" s="116">
        <v>-3.308858200273268E-3</v>
      </c>
      <c r="I97">
        <v>1.9413575893078128E-2</v>
      </c>
      <c r="J97">
        <v>2.0090915566526646E-2</v>
      </c>
      <c r="K97" s="115">
        <v>-4.1575789902865701E-3</v>
      </c>
    </row>
    <row r="98" spans="7:11" x14ac:dyDescent="0.3">
      <c r="G98" t="str">
        <v>M3</v>
      </c>
      <c r="H98" s="116">
        <v>-2.6795035933548927E-3</v>
      </c>
      <c r="I98">
        <v>2.0090915566526646E-2</v>
      </c>
      <c r="J98">
        <v>2.0836354946769386E-2</v>
      </c>
      <c r="K98" s="115">
        <v>-3.5961186882080831E-3</v>
      </c>
    </row>
    <row r="99" spans="7:11" x14ac:dyDescent="0.3">
      <c r="G99" t="str">
        <v>M4</v>
      </c>
      <c r="H99" s="114">
        <v>1.2542370582004025E-2</v>
      </c>
      <c r="I99" s="119">
        <v>-4.1575789902865701E-3</v>
      </c>
      <c r="J99" s="119">
        <v>-3.5961186882080831E-3</v>
      </c>
      <c r="K99" s="113">
        <v>1.211588146604059E-2</v>
      </c>
    </row>
    <row r="101" spans="7:11" x14ac:dyDescent="0.3">
      <c r="G101" t="s">
        <v>111</v>
      </c>
    </row>
    <row r="103" spans="7:11" x14ac:dyDescent="0.3">
      <c r="H103">
        <v>1</v>
      </c>
      <c r="I103">
        <f>H103+1</f>
        <v>2</v>
      </c>
    </row>
    <row r="104" spans="7:11" x14ac:dyDescent="0.3">
      <c r="G104" t="str">
        <f t="array" ref="G104:G107">TRANSPOSE(B1:E1)</f>
        <v>M1</v>
      </c>
      <c r="H104" s="118">
        <f t="array" ref="H104:I107">MMULT(H79:I82,MINVERSE(MMULT(TRANSPOSE(H79:I82),H79:I82)))</f>
        <v>-0.79675351505023329</v>
      </c>
      <c r="I104" s="117">
        <v>-0.42489066093646588</v>
      </c>
    </row>
    <row r="105" spans="7:11" x14ac:dyDescent="0.3">
      <c r="G105" t="str">
        <v>M2</v>
      </c>
      <c r="H105" s="116">
        <v>0.49611604541452803</v>
      </c>
      <c r="I105" s="115">
        <v>0.866100798124532</v>
      </c>
    </row>
    <row r="106" spans="7:11" x14ac:dyDescent="0.3">
      <c r="G106" t="str">
        <v>M3</v>
      </c>
      <c r="H106" s="116">
        <v>-0.43118226565208573</v>
      </c>
      <c r="I106" s="115">
        <v>-0.80371999363427382</v>
      </c>
    </row>
    <row r="107" spans="7:11" x14ac:dyDescent="0.3">
      <c r="G107" t="str">
        <v>M4</v>
      </c>
      <c r="H107" s="114">
        <v>0.8670633598838462</v>
      </c>
      <c r="I107" s="113">
        <v>0.49849828390828155</v>
      </c>
    </row>
    <row r="109" spans="7:11" x14ac:dyDescent="0.3">
      <c r="G109" t="s">
        <v>110</v>
      </c>
    </row>
    <row r="111" spans="7:11" x14ac:dyDescent="0.3">
      <c r="H111">
        <v>1</v>
      </c>
      <c r="I111">
        <f>H111+1</f>
        <v>2</v>
      </c>
    </row>
    <row r="112" spans="7:11" x14ac:dyDescent="0.3">
      <c r="G112" t="str">
        <f t="array" ref="G112:G115">TRANSPOSE(B1:E1)</f>
        <v>M1</v>
      </c>
      <c r="H112" s="118">
        <f t="array" ref="H112:I115">TRANSPOSE(MMULT(MINVERSE(MMULT(TRANSPOSE(H79:I82),MMULT(MINVERSE([2]!DIAGONAL(L70:L73)),H79:I82))),MMULT(TRANSPOSE(H79:I82),MINVERSE([2]!DIAGONAL(L70:L73)))))</f>
        <v>-0.75697591368322237</v>
      </c>
      <c r="I112" s="117">
        <v>-0.39181037693306453</v>
      </c>
    </row>
    <row r="113" spans="7:9" x14ac:dyDescent="0.3">
      <c r="G113" t="str">
        <v>M2</v>
      </c>
      <c r="H113" s="116">
        <v>0.50278232186684246</v>
      </c>
      <c r="I113" s="115">
        <v>0.88934723777364066</v>
      </c>
    </row>
    <row r="114" spans="7:9" x14ac:dyDescent="0.3">
      <c r="G114" t="str">
        <v>M3</v>
      </c>
      <c r="H114" s="116">
        <v>-0.42184069898966214</v>
      </c>
      <c r="I114" s="115">
        <v>-0.77745091785524989</v>
      </c>
    </row>
    <row r="115" spans="7:9" x14ac:dyDescent="0.3">
      <c r="G115" t="str">
        <v>M4</v>
      </c>
      <c r="H115" s="114">
        <v>0.90444657358677083</v>
      </c>
      <c r="I115" s="113">
        <v>0.52865831796205009</v>
      </c>
    </row>
    <row r="117" spans="7:9" x14ac:dyDescent="0.3">
      <c r="G117" t="s">
        <v>109</v>
      </c>
    </row>
    <row r="119" spans="7:9" x14ac:dyDescent="0.3">
      <c r="H119" s="118">
        <f t="array" ref="H119:I120">MMULT(MMULT(TRANSPOSE(H79:I82),MMULT(MINVERSE([2]!DIAGONAL(L70:L73)),H14:K17)),MMULT(MINVERSE([2]!DIAGONAL(L70:L73)),H79:I82))</f>
        <v>32164.80466851786</v>
      </c>
      <c r="I119" s="117">
        <v>-27531.493018365672</v>
      </c>
    </row>
    <row r="120" spans="7:9" x14ac:dyDescent="0.3">
      <c r="H120" s="114">
        <v>-27531.493018365672</v>
      </c>
      <c r="I120" s="113">
        <v>24138.713483304891</v>
      </c>
    </row>
    <row r="122" spans="7:9" x14ac:dyDescent="0.3">
      <c r="H122">
        <v>1</v>
      </c>
      <c r="I122">
        <f>H122+1</f>
        <v>2</v>
      </c>
    </row>
    <row r="123" spans="7:9" x14ac:dyDescent="0.3">
      <c r="G123" t="str">
        <f t="array" ref="G123:G126">TRANSPOSE(B1:E1)</f>
        <v>M1</v>
      </c>
      <c r="H123" s="118">
        <f t="array" ref="H123:I126">TRANSPOSE(MMULT(MINVERSE([2]!MSQRT(H119:I120)),MMULT(TRANSPOSE(H79:I82),MINVERSE([2]!DIAGONAL(L70:L73)))))</f>
        <v>-0.75693774712113771</v>
      </c>
      <c r="I123" s="117">
        <v>-0.3917701640830682</v>
      </c>
    </row>
    <row r="124" spans="7:9" x14ac:dyDescent="0.3">
      <c r="G124" t="str">
        <v>M2</v>
      </c>
      <c r="H124" s="116">
        <v>0.50273926984138695</v>
      </c>
      <c r="I124" s="115">
        <v>0.88929585422743829</v>
      </c>
    </row>
    <row r="125" spans="7:9" x14ac:dyDescent="0.3">
      <c r="G125" t="str">
        <v>M3</v>
      </c>
      <c r="H125" s="116">
        <v>-0.42180369771375181</v>
      </c>
      <c r="I125" s="115">
        <v>-0.77740657968211357</v>
      </c>
    </row>
    <row r="126" spans="7:9" x14ac:dyDescent="0.3">
      <c r="G126" t="str">
        <v>M4</v>
      </c>
      <c r="H126" s="114">
        <v>0.90439926875038978</v>
      </c>
      <c r="I126" s="113">
        <v>0.52860789747869119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1B8E4-AC25-435B-8B5B-66D7E002C327}">
  <dimension ref="A2:O27"/>
  <sheetViews>
    <sheetView workbookViewId="0">
      <selection activeCell="AQ30" sqref="AQ30"/>
    </sheetView>
  </sheetViews>
  <sheetFormatPr defaultRowHeight="14.4" x14ac:dyDescent="0.3"/>
  <cols>
    <col min="5" max="5" width="5" customWidth="1"/>
    <col min="8" max="8" width="3.6640625" customWidth="1"/>
    <col min="12" max="12" width="6.88671875" customWidth="1"/>
  </cols>
  <sheetData>
    <row r="2" spans="1:15" ht="16.8" x14ac:dyDescent="0.35">
      <c r="A2" t="s">
        <v>146</v>
      </c>
      <c r="B2" t="s">
        <v>145</v>
      </c>
      <c r="C2" t="s">
        <v>144</v>
      </c>
      <c r="D2" t="s">
        <v>143</v>
      </c>
      <c r="F2" t="s">
        <v>142</v>
      </c>
      <c r="I2" t="s">
        <v>141</v>
      </c>
      <c r="M2" t="s">
        <v>140</v>
      </c>
      <c r="O2" s="11" t="s">
        <v>139</v>
      </c>
    </row>
    <row r="3" spans="1:15" x14ac:dyDescent="0.3">
      <c r="A3" t="s">
        <v>138</v>
      </c>
      <c r="B3">
        <v>25</v>
      </c>
      <c r="C3">
        <v>9</v>
      </c>
      <c r="D3">
        <v>3</v>
      </c>
      <c r="F3" cm="1">
        <f t="array" ref="F3:F5">TRANSPOSE(B12:D12)</f>
        <v>-18.799999999999997</v>
      </c>
      <c r="I3" cm="1">
        <f t="array" ref="I3:K5">[2]!COV(B3:D7)</f>
        <v>118.69999999999999</v>
      </c>
      <c r="J3">
        <v>0.5</v>
      </c>
      <c r="K3">
        <v>-4.5</v>
      </c>
      <c r="M3" cm="1">
        <f t="array" ref="M3:O5">MINVERSE([2]!COV(B3:D7))</f>
        <v>1.3330526906616154E-2</v>
      </c>
      <c r="N3">
        <v>-1.5435346944502914E-2</v>
      </c>
      <c r="O3">
        <v>0.12769241563179681</v>
      </c>
    </row>
    <row r="4" spans="1:15" x14ac:dyDescent="0.3">
      <c r="A4" t="s">
        <v>137</v>
      </c>
      <c r="B4">
        <v>47</v>
      </c>
      <c r="C4">
        <v>7</v>
      </c>
      <c r="D4">
        <v>2</v>
      </c>
      <c r="F4">
        <v>-5</v>
      </c>
      <c r="I4">
        <v>0.5</v>
      </c>
      <c r="J4">
        <v>2.5</v>
      </c>
      <c r="K4">
        <v>0.25</v>
      </c>
      <c r="M4">
        <v>-1.5435346944502916E-2</v>
      </c>
      <c r="N4">
        <v>0.43892513856731918</v>
      </c>
      <c r="O4">
        <v>-0.3583806917841858</v>
      </c>
    </row>
    <row r="5" spans="1:15" x14ac:dyDescent="0.3">
      <c r="A5" t="s">
        <v>136</v>
      </c>
      <c r="B5">
        <v>38</v>
      </c>
      <c r="C5">
        <v>6</v>
      </c>
      <c r="D5">
        <v>3</v>
      </c>
      <c r="F5">
        <v>4</v>
      </c>
      <c r="I5">
        <v>-4.5</v>
      </c>
      <c r="J5">
        <v>0.25</v>
      </c>
      <c r="K5">
        <v>0.5</v>
      </c>
      <c r="M5">
        <v>0.12769241563179684</v>
      </c>
      <c r="N5">
        <v>-0.3583806917841858</v>
      </c>
      <c r="O5">
        <v>3.3284220865782639</v>
      </c>
    </row>
    <row r="6" spans="1:15" x14ac:dyDescent="0.3">
      <c r="A6" t="s">
        <v>135</v>
      </c>
      <c r="B6">
        <v>29</v>
      </c>
      <c r="C6">
        <v>8</v>
      </c>
      <c r="D6">
        <v>4</v>
      </c>
      <c r="F6" t="str">
        <f ca="1">_xlfn.FORMULATEXT(F3)</f>
        <v>=TRANSPOSE(B12:D12)</v>
      </c>
      <c r="I6" t="str">
        <f ca="1">_xlfn.FORMULATEXT(I3)</f>
        <v>=COV(B3:D7)</v>
      </c>
      <c r="M6" t="str">
        <f ca="1">_xlfn.FORMULATEXT(M3)</f>
        <v>=MINVERSE(COV(B3:D7))</v>
      </c>
    </row>
    <row r="7" spans="1:15" x14ac:dyDescent="0.3">
      <c r="A7" t="s">
        <v>134</v>
      </c>
      <c r="B7">
        <v>50</v>
      </c>
      <c r="C7">
        <v>10</v>
      </c>
      <c r="D7">
        <v>3</v>
      </c>
    </row>
    <row r="9" spans="1:15" x14ac:dyDescent="0.3">
      <c r="A9" s="1" t="s">
        <v>133</v>
      </c>
      <c r="B9">
        <f>AVERAGE(B3:B7)</f>
        <v>37.799999999999997</v>
      </c>
      <c r="C9">
        <f>AVERAGE(C3:C7)</f>
        <v>8</v>
      </c>
      <c r="D9">
        <f>AVERAGE(D3:D7)</f>
        <v>3</v>
      </c>
      <c r="E9" t="str">
        <f ca="1">_xlfn.FORMULATEXT(D9)</f>
        <v>=AVERAGE(D3:D7)</v>
      </c>
      <c r="I9" cm="1">
        <f t="array" ref="I9">SQRT([2]!MPROD(TRANSPOSE(F3:F5),MINVERSE([2]!COV(B3:D7)),F3:F5))</f>
        <v>7.8209888386372386</v>
      </c>
    </row>
    <row r="10" spans="1:15" x14ac:dyDescent="0.3">
      <c r="I10" t="str">
        <f ca="1">_xlfn.FORMULATEXT(I9)</f>
        <v>=SQRT(MPROD(TRANSPOSE(F3:F5),MINVERSE(COV(B3:D7)),F3:F5))</v>
      </c>
    </row>
    <row r="11" spans="1:15" x14ac:dyDescent="0.3">
      <c r="A11" t="s">
        <v>132</v>
      </c>
      <c r="B11">
        <v>19</v>
      </c>
      <c r="C11">
        <v>3</v>
      </c>
      <c r="D11">
        <v>7</v>
      </c>
      <c r="E11" t="s">
        <v>131</v>
      </c>
      <c r="I11" t="s">
        <v>130</v>
      </c>
    </row>
    <row r="12" spans="1:15" ht="15.6" x14ac:dyDescent="0.35">
      <c r="A12" t="s">
        <v>129</v>
      </c>
      <c r="B12">
        <f>B11-AVERAGE(B3:B7)</f>
        <v>-18.799999999999997</v>
      </c>
      <c r="C12">
        <f>C11-AVERAGE(C3:C7)</f>
        <v>-5</v>
      </c>
      <c r="D12">
        <f>D11-AVERAGE(D3:D7)</f>
        <v>4</v>
      </c>
      <c r="I12" cm="1">
        <f t="array" ref="I12">SQRT([2]!MDistSq(B3:D7,B11:D11))</f>
        <v>7.8209888386372386</v>
      </c>
    </row>
    <row r="13" spans="1:15" x14ac:dyDescent="0.3">
      <c r="B13" t="str">
        <f ca="1">_xlfn.FORMULATEXT(B12)</f>
        <v>=B11-AVERAGE(B3:B7)</v>
      </c>
      <c r="I13" t="str">
        <f ca="1">_xlfn.FORMULATEXT(I12)</f>
        <v>=SQRT(MDistSq(B3:D7,B11:D11))</v>
      </c>
    </row>
    <row r="16" spans="1:15" ht="16.8" x14ac:dyDescent="0.35">
      <c r="A16" t="s">
        <v>146</v>
      </c>
      <c r="B16" t="s">
        <v>145</v>
      </c>
      <c r="C16" t="s">
        <v>144</v>
      </c>
      <c r="D16" t="s">
        <v>143</v>
      </c>
      <c r="F16" t="s">
        <v>142</v>
      </c>
      <c r="I16" t="s">
        <v>141</v>
      </c>
      <c r="M16" t="s">
        <v>140</v>
      </c>
      <c r="O16" s="11" t="s">
        <v>139</v>
      </c>
    </row>
    <row r="17" spans="1:15" x14ac:dyDescent="0.3">
      <c r="A17" t="s">
        <v>138</v>
      </c>
      <c r="B17">
        <v>25</v>
      </c>
      <c r="C17">
        <v>9</v>
      </c>
      <c r="D17">
        <v>3</v>
      </c>
      <c r="F17" cm="1">
        <f t="array" ref="F17:F19">TRANSPOSE(B26:D26)</f>
        <v>0.20000000000000284</v>
      </c>
      <c r="I17" cm="1">
        <f t="array" ref="I17:K19">[2]!COV(B17:D21)</f>
        <v>118.69999999999999</v>
      </c>
      <c r="J17">
        <v>0.5</v>
      </c>
      <c r="K17">
        <v>-4.5</v>
      </c>
      <c r="M17" cm="1">
        <f t="array" ref="M17:O19">MINVERSE([2]!COV(B17:D21))</f>
        <v>1.3330526906616154E-2</v>
      </c>
      <c r="N17">
        <v>-1.5435346944502914E-2</v>
      </c>
      <c r="O17">
        <v>0.12769241563179681</v>
      </c>
    </row>
    <row r="18" spans="1:15" x14ac:dyDescent="0.3">
      <c r="A18" t="s">
        <v>137</v>
      </c>
      <c r="B18">
        <v>47</v>
      </c>
      <c r="C18">
        <v>7</v>
      </c>
      <c r="D18">
        <v>2</v>
      </c>
      <c r="F18">
        <v>1</v>
      </c>
      <c r="I18">
        <v>0.5</v>
      </c>
      <c r="J18">
        <v>2.5</v>
      </c>
      <c r="K18">
        <v>0.25</v>
      </c>
      <c r="M18">
        <v>-1.5435346944502916E-2</v>
      </c>
      <c r="N18">
        <v>0.43892513856731918</v>
      </c>
      <c r="O18">
        <v>-0.3583806917841858</v>
      </c>
    </row>
    <row r="19" spans="1:15" x14ac:dyDescent="0.3">
      <c r="A19" t="s">
        <v>136</v>
      </c>
      <c r="B19">
        <v>38</v>
      </c>
      <c r="C19">
        <v>6</v>
      </c>
      <c r="D19">
        <v>3</v>
      </c>
      <c r="F19">
        <v>0</v>
      </c>
      <c r="I19">
        <v>-4.5</v>
      </c>
      <c r="J19">
        <v>0.25</v>
      </c>
      <c r="K19">
        <v>0.5</v>
      </c>
      <c r="M19">
        <v>0.12769241563179684</v>
      </c>
      <c r="N19">
        <v>-0.3583806917841858</v>
      </c>
      <c r="O19">
        <v>3.3284220865782639</v>
      </c>
    </row>
    <row r="20" spans="1:15" x14ac:dyDescent="0.3">
      <c r="A20" t="s">
        <v>135</v>
      </c>
      <c r="B20">
        <v>29</v>
      </c>
      <c r="C20">
        <v>8</v>
      </c>
      <c r="D20">
        <v>4</v>
      </c>
      <c r="F20" t="str">
        <f ca="1">_xlfn.FORMULATEXT(F17)</f>
        <v>=TRANSPOSE(B26:D26)</v>
      </c>
      <c r="I20" t="str">
        <f ca="1">_xlfn.FORMULATEXT(I17)</f>
        <v>=COV(B17:D21)</v>
      </c>
      <c r="M20" t="str">
        <f ca="1">_xlfn.FORMULATEXT(M17)</f>
        <v>=MINVERSE(COV(B17:D21))</v>
      </c>
    </row>
    <row r="21" spans="1:15" x14ac:dyDescent="0.3">
      <c r="A21" t="s">
        <v>134</v>
      </c>
      <c r="B21">
        <v>50</v>
      </c>
      <c r="C21">
        <v>10</v>
      </c>
      <c r="D21">
        <v>3</v>
      </c>
    </row>
    <row r="23" spans="1:15" x14ac:dyDescent="0.3">
      <c r="A23" s="1" t="s">
        <v>133</v>
      </c>
      <c r="B23">
        <f>AVERAGE(B17:B21)</f>
        <v>37.799999999999997</v>
      </c>
      <c r="C23">
        <f>AVERAGE(C17:C21)</f>
        <v>8</v>
      </c>
      <c r="D23">
        <f>AVERAGE(D17:D21)</f>
        <v>3</v>
      </c>
      <c r="E23" t="str">
        <f ca="1">_xlfn.FORMULATEXT(D23)</f>
        <v>=AVERAGE(D17:D21)</v>
      </c>
      <c r="I23" cm="1">
        <f t="array" ref="I23">SQRT([2]!MPROD(TRANSPOSE(F17:F19),MINVERSE([2]!COV(B17:D21)),F17:F19))</f>
        <v>0.65824328395038156</v>
      </c>
    </row>
    <row r="24" spans="1:15" x14ac:dyDescent="0.3">
      <c r="I24" t="str">
        <f ca="1">_xlfn.FORMULATEXT(I23)</f>
        <v>=SQRT(MPROD(TRANSPOSE(F17:F19),MINVERSE(COV(B17:D21)),F17:F19))</v>
      </c>
    </row>
    <row r="25" spans="1:15" x14ac:dyDescent="0.3">
      <c r="A25" t="s">
        <v>132</v>
      </c>
      <c r="B25">
        <v>38</v>
      </c>
      <c r="C25">
        <v>9</v>
      </c>
      <c r="D25">
        <v>3</v>
      </c>
      <c r="E25" t="s">
        <v>131</v>
      </c>
      <c r="I25" t="s">
        <v>130</v>
      </c>
    </row>
    <row r="26" spans="1:15" ht="15.6" x14ac:dyDescent="0.35">
      <c r="A26" t="s">
        <v>129</v>
      </c>
      <c r="B26">
        <f>B25-AVERAGE(B17:B21)</f>
        <v>0.20000000000000284</v>
      </c>
      <c r="C26">
        <f>C25-AVERAGE(C17:C21)</f>
        <v>1</v>
      </c>
      <c r="D26">
        <f>D25-AVERAGE(D17:D21)</f>
        <v>0</v>
      </c>
      <c r="I26" cm="1">
        <f t="array" ref="I26">SQRT([2]!MDistSq(B17:D21,B25:D25))</f>
        <v>0.65824328395038156</v>
      </c>
    </row>
    <row r="27" spans="1:15" x14ac:dyDescent="0.3">
      <c r="B27" t="str">
        <f ca="1">_xlfn.FORMULATEXT(B26)</f>
        <v>=B25-AVERAGE(B17:B21)</v>
      </c>
      <c r="I27" t="str">
        <f ca="1">_xlfn.FORMULATEXT(I26)</f>
        <v>=SQRT(MDistSq(B17:D21,B25:D25))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4EC62-54AE-41DB-BE59-F436CB3AEBD4}">
  <dimension ref="A1:Z38"/>
  <sheetViews>
    <sheetView zoomScale="95" zoomScaleNormal="95" workbookViewId="0">
      <selection activeCell="N30" sqref="N30"/>
    </sheetView>
  </sheetViews>
  <sheetFormatPr defaultRowHeight="14.4" x14ac:dyDescent="0.3"/>
  <cols>
    <col min="4" max="4" width="13.33203125" customWidth="1"/>
    <col min="5" max="5" width="7" customWidth="1"/>
    <col min="6" max="7" width="10.33203125" customWidth="1"/>
    <col min="8" max="8" width="6.44140625" customWidth="1"/>
    <col min="9" max="15" width="10.5546875" customWidth="1"/>
    <col min="16" max="16" width="9.44140625" customWidth="1"/>
    <col min="17" max="17" width="5.88671875" customWidth="1"/>
    <col min="18" max="20" width="10.88671875" customWidth="1"/>
    <col min="23" max="23" width="6.109375" customWidth="1"/>
  </cols>
  <sheetData>
    <row r="1" spans="1:26" x14ac:dyDescent="0.3">
      <c r="A1" t="s">
        <v>180</v>
      </c>
    </row>
    <row r="2" spans="1:26" ht="15.6" x14ac:dyDescent="0.35">
      <c r="A2" s="2" t="s">
        <v>179</v>
      </c>
      <c r="B2" s="8" t="s">
        <v>178</v>
      </c>
      <c r="C2" s="8" t="s">
        <v>177</v>
      </c>
      <c r="D2" s="8" t="s">
        <v>176</v>
      </c>
      <c r="F2" t="s">
        <v>175</v>
      </c>
      <c r="J2" t="s">
        <v>174</v>
      </c>
      <c r="N2" t="s">
        <v>173</v>
      </c>
      <c r="Q2" s="21"/>
      <c r="R2" t="s">
        <v>172</v>
      </c>
    </row>
    <row r="3" spans="1:26" ht="15.6" x14ac:dyDescent="0.35">
      <c r="A3" s="101" t="s">
        <v>155</v>
      </c>
      <c r="B3" s="147">
        <v>71</v>
      </c>
      <c r="C3" s="147">
        <v>35</v>
      </c>
      <c r="D3" s="146">
        <v>10</v>
      </c>
      <c r="E3" s="157" t="s">
        <v>171</v>
      </c>
      <c r="F3" s="148">
        <f>AVERAGE(B3:B7)</f>
        <v>79.400000000000006</v>
      </c>
      <c r="G3" s="147">
        <f>AVERAGE(C3:C7)</f>
        <v>39.4</v>
      </c>
      <c r="H3" s="146">
        <f>AVERAGE(D3:D7)</f>
        <v>9.4</v>
      </c>
      <c r="J3" s="27" cm="1">
        <f t="array" ref="J3:L5">MMULT(TRANSPOSE(F8:H8),F8:H8)</f>
        <v>214.62250000000017</v>
      </c>
      <c r="K3" s="27">
        <v>-82.040000000000049</v>
      </c>
      <c r="L3" s="27">
        <v>42.485000000000021</v>
      </c>
      <c r="N3" t="s">
        <v>170</v>
      </c>
      <c r="O3" s="21"/>
      <c r="P3" s="21"/>
      <c r="R3" s="27" cm="1">
        <f t="array" ref="R3:R11">MMULT(B3:D11,$N$12:$N$14)</f>
        <v>19.443707973873181</v>
      </c>
      <c r="S3" t="s">
        <v>169</v>
      </c>
      <c r="X3" s="8"/>
      <c r="Y3" s="21"/>
      <c r="Z3" s="21"/>
    </row>
    <row r="4" spans="1:26" ht="15.6" x14ac:dyDescent="0.35">
      <c r="A4" s="98" t="s">
        <v>155</v>
      </c>
      <c r="B4" s="8">
        <v>85</v>
      </c>
      <c r="C4" s="8">
        <v>38</v>
      </c>
      <c r="D4" s="138">
        <v>8</v>
      </c>
      <c r="E4" s="157" t="s">
        <v>168</v>
      </c>
      <c r="F4" s="156">
        <f>AVERAGE(B8:B11)</f>
        <v>64.75</v>
      </c>
      <c r="G4" s="136">
        <f>AVERAGE(C8:C11)</f>
        <v>45</v>
      </c>
      <c r="H4" s="135">
        <f>AVERAGE(D8:D11)</f>
        <v>6.5</v>
      </c>
      <c r="J4" s="8">
        <v>-82.040000000000049</v>
      </c>
      <c r="K4" s="8">
        <v>31.360000000000017</v>
      </c>
      <c r="L4" s="8">
        <v>-16.240000000000006</v>
      </c>
      <c r="N4" s="25" cm="1">
        <f t="array" ref="N4:P6">MMULT(J21:L23,J3:L5)</f>
        <v>1.1749548645085655</v>
      </c>
      <c r="O4" s="25">
        <v>-0.44912950452204542</v>
      </c>
      <c r="P4" s="25">
        <v>0.23258492198463065</v>
      </c>
      <c r="R4" s="27">
        <v>19.220369757873279</v>
      </c>
      <c r="X4" s="8"/>
      <c r="Y4" s="21"/>
      <c r="Z4" s="21"/>
    </row>
    <row r="5" spans="1:26" x14ac:dyDescent="0.3">
      <c r="A5" s="98" t="s">
        <v>155</v>
      </c>
      <c r="B5" s="8">
        <v>87</v>
      </c>
      <c r="C5" s="8">
        <v>37</v>
      </c>
      <c r="D5" s="138">
        <v>10</v>
      </c>
      <c r="F5" s="21" t="str">
        <f ca="1">_xlfn.FORMULATEXT(F3)</f>
        <v>=AVERAGE(B3:B7)</v>
      </c>
      <c r="G5" s="21"/>
      <c r="H5" s="21"/>
      <c r="J5" s="8">
        <v>42.485000000000021</v>
      </c>
      <c r="K5" s="8">
        <v>-16.240000000000006</v>
      </c>
      <c r="L5" s="8">
        <v>8.4100000000000019</v>
      </c>
      <c r="N5" s="25">
        <v>0.29162449300747972</v>
      </c>
      <c r="O5" s="25">
        <v>-0.11147420893118676</v>
      </c>
      <c r="P5" s="25">
        <v>5.7727715339364577E-2</v>
      </c>
      <c r="R5" s="27">
        <v>21.414438466346525</v>
      </c>
      <c r="W5" s="21"/>
      <c r="X5" s="8"/>
      <c r="Y5" s="21"/>
      <c r="Z5" s="21"/>
    </row>
    <row r="6" spans="1:26" x14ac:dyDescent="0.3">
      <c r="A6" s="98" t="s">
        <v>155</v>
      </c>
      <c r="B6" s="8">
        <v>82</v>
      </c>
      <c r="C6" s="8">
        <v>40</v>
      </c>
      <c r="D6" s="138">
        <v>9</v>
      </c>
      <c r="J6" t="str">
        <f ca="1">_xlfn.FORMULATEXT(J3)</f>
        <v>=MMULT(TRANSPOSE(F8:H8),F8:H8)</v>
      </c>
      <c r="N6" s="25">
        <v>9.760408704529981</v>
      </c>
      <c r="O6" s="25">
        <v>-3.7309412112879099</v>
      </c>
      <c r="P6" s="25">
        <v>1.9320945558455245</v>
      </c>
      <c r="R6" s="27">
        <v>19.913674795149308</v>
      </c>
      <c r="W6" s="21"/>
      <c r="X6" s="8"/>
    </row>
    <row r="7" spans="1:26" x14ac:dyDescent="0.3">
      <c r="A7" s="97" t="s">
        <v>155</v>
      </c>
      <c r="B7" s="136">
        <v>72</v>
      </c>
      <c r="C7" s="136">
        <v>47</v>
      </c>
      <c r="D7" s="135">
        <v>10</v>
      </c>
      <c r="F7" t="s">
        <v>167</v>
      </c>
      <c r="H7" s="21"/>
      <c r="N7" t="str">
        <f ca="1">_xlfn.FORMULATEXT(N4)</f>
        <v>=MMULT(J21:L23,J3:L5)</v>
      </c>
      <c r="R7" s="27">
        <v>19.918985466527168</v>
      </c>
    </row>
    <row r="8" spans="1:26" ht="16.2" x14ac:dyDescent="0.35">
      <c r="A8" s="101" t="s">
        <v>148</v>
      </c>
      <c r="B8" s="147">
        <v>65</v>
      </c>
      <c r="C8" s="147">
        <v>50</v>
      </c>
      <c r="D8" s="146">
        <v>6</v>
      </c>
      <c r="F8" s="155">
        <f>F3-F4</f>
        <v>14.650000000000006</v>
      </c>
      <c r="G8" s="154">
        <f>G3-G4</f>
        <v>-5.6000000000000014</v>
      </c>
      <c r="H8" s="153">
        <f>H3-H4</f>
        <v>2.9000000000000004</v>
      </c>
      <c r="I8" s="152" t="s">
        <v>166</v>
      </c>
      <c r="M8" s="152"/>
      <c r="R8" s="27">
        <v>15.202106347564218</v>
      </c>
      <c r="S8" s="21"/>
      <c r="T8" s="21"/>
      <c r="X8" s="8"/>
      <c r="Y8" s="21"/>
      <c r="Z8" s="21"/>
    </row>
    <row r="9" spans="1:26" ht="15.6" x14ac:dyDescent="0.35">
      <c r="A9" s="98" t="s">
        <v>148</v>
      </c>
      <c r="B9" s="8">
        <v>73</v>
      </c>
      <c r="C9" s="8">
        <v>45</v>
      </c>
      <c r="D9" s="138">
        <v>7</v>
      </c>
      <c r="F9" s="21" t="str">
        <f ca="1">_xlfn.FORMULATEXT(F8)</f>
        <v>=F3-F4</v>
      </c>
      <c r="G9" s="21"/>
      <c r="J9" t="s">
        <v>165</v>
      </c>
      <c r="Q9" s="21"/>
      <c r="R9" s="27">
        <v>17.001960618725306</v>
      </c>
      <c r="W9" s="21"/>
      <c r="X9" s="8"/>
      <c r="Y9" s="21"/>
      <c r="Z9" s="21"/>
    </row>
    <row r="10" spans="1:26" x14ac:dyDescent="0.3">
      <c r="A10" s="98" t="s">
        <v>148</v>
      </c>
      <c r="B10" s="8">
        <v>66</v>
      </c>
      <c r="C10" s="8">
        <v>50</v>
      </c>
      <c r="D10" s="138">
        <v>5</v>
      </c>
      <c r="J10" s="27" cm="1">
        <f t="array" ref="J10:L12">MMULT(TRANSPOSE(F12:H16),F12:H16)+MMULT(TRANSPOSE(F17:H20),F17:H20)</f>
        <v>385.95</v>
      </c>
      <c r="K10" s="8">
        <v>61.2</v>
      </c>
      <c r="L10" s="8">
        <v>-26.3</v>
      </c>
      <c r="N10" t="s">
        <v>164</v>
      </c>
      <c r="Q10" s="21"/>
      <c r="R10" s="27">
        <v>14.329174978347327</v>
      </c>
      <c r="W10" s="21"/>
      <c r="X10" s="8"/>
      <c r="Y10" s="21"/>
      <c r="Z10" s="21"/>
    </row>
    <row r="11" spans="1:26" x14ac:dyDescent="0.3">
      <c r="A11" s="97" t="s">
        <v>148</v>
      </c>
      <c r="B11" s="136">
        <v>55</v>
      </c>
      <c r="C11" s="136">
        <v>35</v>
      </c>
      <c r="D11" s="135">
        <v>8</v>
      </c>
      <c r="F11" s="8" t="s">
        <v>163</v>
      </c>
      <c r="J11" s="8">
        <v>61.2</v>
      </c>
      <c r="K11" s="8">
        <v>235.2</v>
      </c>
      <c r="L11" s="8">
        <v>-22.8</v>
      </c>
      <c r="N11" s="38" cm="1">
        <f t="array" ref="N11:P16">[2]!eigVECTReal(N4:P6)</f>
        <v>2.9955752114229033</v>
      </c>
      <c r="O11" s="151">
        <v>2.3107058801097313E-18</v>
      </c>
      <c r="P11" s="150">
        <v>0</v>
      </c>
      <c r="Q11" s="149" t="s">
        <v>13</v>
      </c>
      <c r="R11" s="27">
        <v>15.547488411025192</v>
      </c>
      <c r="W11" s="21"/>
      <c r="X11" s="8"/>
    </row>
    <row r="12" spans="1:26" x14ac:dyDescent="0.3">
      <c r="E12" s="101" t="s">
        <v>155</v>
      </c>
      <c r="F12" s="148" cm="1">
        <f t="array" ref="F12:F16">B3:B7-F$3</f>
        <v>-8.4000000000000057</v>
      </c>
      <c r="G12" s="147" cm="1">
        <f t="array" ref="G12:G16">C3:C7-G$3</f>
        <v>-4.3999999999999986</v>
      </c>
      <c r="H12" s="146" cm="1">
        <f t="array" ref="H12:H16">D3:D7-H$3</f>
        <v>0.59999999999999964</v>
      </c>
      <c r="J12" s="8">
        <v>-26.3</v>
      </c>
      <c r="K12" s="8">
        <v>-22.8</v>
      </c>
      <c r="L12" s="8">
        <v>8.1999999999999993</v>
      </c>
      <c r="N12" s="145">
        <v>0.11946426802301129</v>
      </c>
      <c r="O12" s="34">
        <v>0.1546723882066609</v>
      </c>
      <c r="P12" s="33">
        <v>0.15437850942538414</v>
      </c>
      <c r="Q12" s="21" t="s">
        <v>91</v>
      </c>
      <c r="R12" t="str">
        <f ca="1">_xlfn.FORMULATEXT(R3)</f>
        <v>=MMULT(B3:D11,$N$12:$N$14)</v>
      </c>
      <c r="W12" s="21"/>
      <c r="X12" s="8"/>
    </row>
    <row r="13" spans="1:26" x14ac:dyDescent="0.3">
      <c r="A13" s="2" t="s">
        <v>162</v>
      </c>
      <c r="B13" s="8">
        <v>2</v>
      </c>
      <c r="C13" t="s">
        <v>161</v>
      </c>
      <c r="E13" s="98" t="s">
        <v>155</v>
      </c>
      <c r="F13" s="139">
        <v>5.5999999999999943</v>
      </c>
      <c r="G13" s="8">
        <v>-1.3999999999999986</v>
      </c>
      <c r="H13" s="138">
        <v>-1.4000000000000004</v>
      </c>
      <c r="J13" t="str">
        <f ca="1">_xlfn.FORMULATEXT(J10)</f>
        <v>=MMULT(TRANSPOSE(F12:H16),F12:H16)+MMULT(TRANSPOSE(F17:H20),F17:H20)</v>
      </c>
      <c r="N13" s="144">
        <v>2.965110205258133E-2</v>
      </c>
      <c r="O13" s="25">
        <v>0.7422762472670027</v>
      </c>
      <c r="P13" s="31">
        <v>0.74181513646285102</v>
      </c>
      <c r="Q13" s="21"/>
      <c r="X13" s="8"/>
    </row>
    <row r="14" spans="1:26" ht="15.6" x14ac:dyDescent="0.35">
      <c r="A14" s="2" t="s">
        <v>157</v>
      </c>
      <c r="B14" s="8">
        <v>15</v>
      </c>
      <c r="C14" t="s">
        <v>160</v>
      </c>
      <c r="E14" s="98" t="s">
        <v>155</v>
      </c>
      <c r="F14" s="139">
        <v>7.5999999999999943</v>
      </c>
      <c r="G14" s="8">
        <v>-2.3999999999999986</v>
      </c>
      <c r="H14" s="138">
        <v>0.59999999999999964</v>
      </c>
      <c r="I14" t="s">
        <v>159</v>
      </c>
      <c r="J14" t="s">
        <v>130</v>
      </c>
      <c r="N14" s="143">
        <v>0.99239563723990321</v>
      </c>
      <c r="O14" s="29">
        <v>0.65199879223021828</v>
      </c>
      <c r="P14" s="28">
        <v>0.65259296590003046</v>
      </c>
      <c r="Q14" s="21"/>
      <c r="R14" s="21"/>
      <c r="S14" s="21"/>
      <c r="T14" s="21"/>
      <c r="U14" s="21"/>
      <c r="Y14" s="21"/>
      <c r="Z14" s="21"/>
    </row>
    <row r="15" spans="1:26" x14ac:dyDescent="0.3">
      <c r="A15" s="2" t="s">
        <v>154</v>
      </c>
      <c r="B15" s="8">
        <v>12</v>
      </c>
      <c r="C15" t="s">
        <v>158</v>
      </c>
      <c r="E15" s="98" t="s">
        <v>155</v>
      </c>
      <c r="F15" s="139">
        <v>2.5999999999999943</v>
      </c>
      <c r="G15" s="8">
        <v>0.60000000000000142</v>
      </c>
      <c r="H15" s="138">
        <v>-0.40000000000000036</v>
      </c>
      <c r="J15" s="8" cm="1">
        <f t="array" ref="J15:L17">4*[2]!COV(B3:D7)+3*[2]!COV(B8:D11)</f>
        <v>385.95</v>
      </c>
      <c r="K15" s="8">
        <v>61.2</v>
      </c>
      <c r="L15" s="8">
        <v>-26.299999999999997</v>
      </c>
      <c r="N15" s="8">
        <v>-2.0287964619840576E-16</v>
      </c>
      <c r="O15" s="8">
        <v>-7.5191453574048476E-33</v>
      </c>
      <c r="P15" s="8">
        <v>-7.5191453574048476E-33</v>
      </c>
      <c r="Q15" s="21"/>
      <c r="R15" s="21"/>
      <c r="S15" s="21"/>
      <c r="T15" s="21"/>
      <c r="U15" s="21"/>
      <c r="Y15" s="21"/>
      <c r="Z15" s="21"/>
    </row>
    <row r="16" spans="1:26" x14ac:dyDescent="0.3">
      <c r="A16" s="2" t="s">
        <v>157</v>
      </c>
      <c r="B16" s="8">
        <v>5</v>
      </c>
      <c r="C16" t="s">
        <v>156</v>
      </c>
      <c r="E16" s="97" t="s">
        <v>155</v>
      </c>
      <c r="F16" s="137">
        <v>-7.4000000000000057</v>
      </c>
      <c r="G16" s="136">
        <v>7.6000000000000014</v>
      </c>
      <c r="H16" s="135">
        <v>0.59999999999999964</v>
      </c>
      <c r="J16" s="8">
        <v>61.2</v>
      </c>
      <c r="K16" s="8">
        <v>235.2</v>
      </c>
      <c r="L16" s="8">
        <v>-22.799999999999997</v>
      </c>
      <c r="N16" s="8">
        <v>2.2204460492503131E-16</v>
      </c>
      <c r="O16" s="8">
        <v>2.2204460492503131E-16</v>
      </c>
      <c r="P16" s="8">
        <v>2.2204460492503131E-16</v>
      </c>
      <c r="Q16" s="21"/>
      <c r="R16" s="21"/>
      <c r="S16" s="21"/>
      <c r="U16" s="21"/>
      <c r="X16" s="21"/>
      <c r="Y16" s="21"/>
      <c r="Z16" s="21"/>
    </row>
    <row r="17" spans="1:26" x14ac:dyDescent="0.3">
      <c r="A17" s="2" t="s">
        <v>154</v>
      </c>
      <c r="B17" s="8">
        <v>4</v>
      </c>
      <c r="C17" t="s">
        <v>153</v>
      </c>
      <c r="E17" s="101" t="s">
        <v>148</v>
      </c>
      <c r="F17" s="142" cm="1">
        <f t="array" ref="F17:F20">B8:B11-F$4</f>
        <v>0.25</v>
      </c>
      <c r="G17" s="141" cm="1">
        <f t="array" ref="G17:G20">C8:C11-G$4</f>
        <v>5</v>
      </c>
      <c r="H17" s="140" cm="1">
        <f t="array" ref="H17:H20">D8:D11-H$4</f>
        <v>-0.5</v>
      </c>
      <c r="I17" s="21"/>
      <c r="J17" s="8">
        <v>-26.299999999999997</v>
      </c>
      <c r="K17" s="8">
        <v>-22.799999999999997</v>
      </c>
      <c r="L17" s="8">
        <v>8.1999999999999993</v>
      </c>
      <c r="M17" s="21"/>
      <c r="N17" s="21" t="str">
        <f ca="1">_xlfn.FORMULATEXT(N11)</f>
        <v>=eigVECTReal(N4:P6)</v>
      </c>
      <c r="O17" s="21"/>
      <c r="P17" s="21"/>
      <c r="R17" s="21"/>
      <c r="S17" s="21"/>
    </row>
    <row r="18" spans="1:26" ht="15.6" x14ac:dyDescent="0.35">
      <c r="A18" s="2" t="s">
        <v>152</v>
      </c>
      <c r="B18" s="8">
        <v>9</v>
      </c>
      <c r="C18" t="s">
        <v>151</v>
      </c>
      <c r="E18" s="98" t="s">
        <v>148</v>
      </c>
      <c r="F18" s="139">
        <v>8.25</v>
      </c>
      <c r="G18" s="8">
        <v>0</v>
      </c>
      <c r="H18" s="138">
        <v>0.5</v>
      </c>
      <c r="I18" t="s">
        <v>150</v>
      </c>
      <c r="J18" t="str">
        <f ca="1">_xlfn.FORMULATEXT(J15)</f>
        <v>=4*COV(B3:D7)+3*COV(B8:D11)</v>
      </c>
      <c r="R18" s="21"/>
      <c r="S18" s="21"/>
    </row>
    <row r="19" spans="1:26" x14ac:dyDescent="0.3">
      <c r="A19" s="2"/>
      <c r="B19" s="27"/>
      <c r="E19" s="98" t="s">
        <v>148</v>
      </c>
      <c r="F19" s="139">
        <v>1.25</v>
      </c>
      <c r="G19" s="8">
        <v>5</v>
      </c>
      <c r="H19" s="138">
        <v>-1.5</v>
      </c>
      <c r="R19" s="21"/>
      <c r="S19" s="21"/>
      <c r="T19" s="21"/>
    </row>
    <row r="20" spans="1:26" ht="16.8" x14ac:dyDescent="0.35">
      <c r="A20" s="2" t="s">
        <v>149</v>
      </c>
      <c r="B20" s="27"/>
      <c r="E20" s="97" t="s">
        <v>148</v>
      </c>
      <c r="F20" s="137">
        <v>-9.75</v>
      </c>
      <c r="G20" s="136">
        <v>-10</v>
      </c>
      <c r="H20" s="135">
        <v>1.5</v>
      </c>
      <c r="J20" t="s">
        <v>147</v>
      </c>
      <c r="R20" s="21"/>
      <c r="S20" s="21"/>
      <c r="Y20" s="21"/>
      <c r="Z20" s="21"/>
    </row>
    <row r="21" spans="1:26" x14ac:dyDescent="0.3">
      <c r="A21" cm="1">
        <f t="array" ref="A21">[2]!BOXTEST(A3:D11)</f>
        <v>0.70942285071172628</v>
      </c>
      <c r="F21" t="str">
        <f ca="1">_xlfn.FORMULATEXT(F12)</f>
        <v>=B3:B7-F$3</v>
      </c>
      <c r="G21" t="str">
        <f ca="1">_xlfn.FORMULATEXT(G12)</f>
        <v>=C3:C7-G$3</v>
      </c>
      <c r="H21" t="str">
        <f ca="1">_xlfn.FORMULATEXT(H12)</f>
        <v>=D3:D7-H$3</v>
      </c>
      <c r="J21" s="134" cm="1">
        <f t="array" ref="J21:L23">MINVERSE(J15:L17)</f>
        <v>3.3248042004681349E-3</v>
      </c>
      <c r="K21" s="134">
        <v>2.3081051306486581E-4</v>
      </c>
      <c r="L21" s="134">
        <v>1.1305467093925716E-2</v>
      </c>
      <c r="R21" s="21"/>
      <c r="S21" s="21"/>
      <c r="Y21" s="21"/>
      <c r="Z21" s="21"/>
    </row>
    <row r="22" spans="1:26" x14ac:dyDescent="0.3">
      <c r="A22" t="str">
        <f ca="1">_xlfn.FORMULATEXT(A21)</f>
        <v>=BOXTEST(A3:D11)</v>
      </c>
      <c r="F22" t="str">
        <f ca="1">_xlfn.FORMULATEXT(F17)</f>
        <v>=B8:B11-F$4</v>
      </c>
      <c r="G22" t="str">
        <f ca="1">_xlfn.FORMULATEXT(G17)</f>
        <v>=C8:C11-G$4</v>
      </c>
      <c r="H22" t="str">
        <f ca="1">_xlfn.FORMULATEXT(H17)</f>
        <v>=D8:D11-H$4</v>
      </c>
      <c r="J22" s="134">
        <v>2.3081051306486598E-4</v>
      </c>
      <c r="K22" s="134">
        <v>5.8365795486781261E-3</v>
      </c>
      <c r="L22" s="134">
        <v>1.6968820756520394E-2</v>
      </c>
      <c r="R22" s="21"/>
      <c r="S22" s="21"/>
      <c r="Y22" s="21"/>
      <c r="Z22" s="21"/>
    </row>
    <row r="23" spans="1:26" x14ac:dyDescent="0.3">
      <c r="J23" s="134">
        <v>1.1305467093925717E-2</v>
      </c>
      <c r="K23" s="134">
        <v>1.6968820756520394E-2</v>
      </c>
      <c r="L23" s="134">
        <v>0.20539303631937944</v>
      </c>
      <c r="R23" s="21"/>
      <c r="S23" s="21"/>
      <c r="X23" s="8"/>
    </row>
    <row r="24" spans="1:26" x14ac:dyDescent="0.3">
      <c r="J24" t="str">
        <f ca="1">_xlfn.FORMULATEXT(J21)</f>
        <v>=MINVERSE(J15:L17)</v>
      </c>
      <c r="R24" s="21"/>
      <c r="S24" s="21"/>
    </row>
    <row r="25" spans="1:26" x14ac:dyDescent="0.3">
      <c r="R25" s="21"/>
      <c r="S25" s="21"/>
    </row>
    <row r="26" spans="1:26" x14ac:dyDescent="0.3">
      <c r="R26" s="21"/>
      <c r="S26" s="21"/>
      <c r="Y26" s="21"/>
      <c r="Z26" s="21"/>
    </row>
    <row r="27" spans="1:26" x14ac:dyDescent="0.3">
      <c r="R27" s="21"/>
      <c r="S27" s="21"/>
      <c r="Y27" s="21"/>
      <c r="Z27" s="21"/>
    </row>
    <row r="28" spans="1:26" x14ac:dyDescent="0.3">
      <c r="R28" s="21"/>
      <c r="S28" s="21"/>
      <c r="Y28" s="21"/>
      <c r="Z28" s="21"/>
    </row>
    <row r="29" spans="1:26" x14ac:dyDescent="0.3">
      <c r="R29" s="21"/>
      <c r="S29" s="21"/>
    </row>
    <row r="30" spans="1:26" x14ac:dyDescent="0.3">
      <c r="R30" s="21"/>
      <c r="S30" s="21"/>
    </row>
    <row r="31" spans="1:26" x14ac:dyDescent="0.3">
      <c r="R31" s="21"/>
      <c r="S31" s="21"/>
    </row>
    <row r="32" spans="1:26" x14ac:dyDescent="0.3">
      <c r="R32" s="21"/>
      <c r="S32" s="21"/>
    </row>
    <row r="33" spans="18:19" x14ac:dyDescent="0.3">
      <c r="R33" s="21"/>
      <c r="S33" s="21"/>
    </row>
    <row r="34" spans="18:19" x14ac:dyDescent="0.3">
      <c r="R34" s="21"/>
      <c r="S34" s="21"/>
    </row>
    <row r="38" spans="18:19" x14ac:dyDescent="0.3">
      <c r="R38" s="21"/>
      <c r="S38" s="21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7C846-2D2C-4B4C-9B18-0C5F291034F7}">
  <dimension ref="A1:U53"/>
  <sheetViews>
    <sheetView zoomScaleNormal="100" workbookViewId="0">
      <selection activeCell="N30" sqref="N30"/>
    </sheetView>
  </sheetViews>
  <sheetFormatPr defaultRowHeight="14.4" x14ac:dyDescent="0.3"/>
  <cols>
    <col min="5" max="5" width="6" customWidth="1"/>
    <col min="10" max="10" width="4.6640625" customWidth="1"/>
    <col min="16" max="16" width="10.5546875" customWidth="1"/>
    <col min="17" max="17" width="10.33203125" customWidth="1"/>
  </cols>
  <sheetData>
    <row r="1" spans="1:21" x14ac:dyDescent="0.3">
      <c r="A1" t="s">
        <v>180</v>
      </c>
      <c r="F1" t="s">
        <v>208</v>
      </c>
      <c r="P1" t="s">
        <v>207</v>
      </c>
      <c r="U1" t="s">
        <v>206</v>
      </c>
    </row>
    <row r="2" spans="1:21" ht="15.6" x14ac:dyDescent="0.35">
      <c r="A2" s="2" t="s">
        <v>179</v>
      </c>
      <c r="B2" s="8" t="s">
        <v>178</v>
      </c>
      <c r="C2" s="8" t="s">
        <v>177</v>
      </c>
      <c r="D2" s="8" t="s">
        <v>176</v>
      </c>
      <c r="E2" s="8"/>
      <c r="G2" t="s">
        <v>175</v>
      </c>
      <c r="L2" t="s">
        <v>205</v>
      </c>
      <c r="M2" s="21"/>
      <c r="N2" s="21"/>
      <c r="O2" s="21"/>
      <c r="P2" t="s">
        <v>204</v>
      </c>
      <c r="U2" t="s">
        <v>172</v>
      </c>
    </row>
    <row r="3" spans="1:21" ht="15.6" x14ac:dyDescent="0.35">
      <c r="A3" s="2" t="s">
        <v>155</v>
      </c>
      <c r="B3" s="8">
        <v>76</v>
      </c>
      <c r="C3" s="8">
        <v>35</v>
      </c>
      <c r="D3" s="8">
        <v>10</v>
      </c>
      <c r="E3" s="8"/>
      <c r="F3" s="22" t="s">
        <v>171</v>
      </c>
      <c r="G3">
        <f>AVERAGE(B3:B7)</f>
        <v>81.2</v>
      </c>
      <c r="H3">
        <f>AVERAGE(C3:C7)</f>
        <v>42.6</v>
      </c>
      <c r="I3">
        <f>AVERAGE(D3:D7)</f>
        <v>9.1999999999999993</v>
      </c>
      <c r="L3">
        <f t="shared" ref="L3:N7" si="0">B3-G$3</f>
        <v>-5.2000000000000028</v>
      </c>
      <c r="M3">
        <f t="shared" si="0"/>
        <v>-7.6000000000000014</v>
      </c>
      <c r="N3">
        <f t="shared" si="0"/>
        <v>0.80000000000000071</v>
      </c>
      <c r="P3" cm="1">
        <f t="array" ref="P3:R5">MMULT(TRANSPOSE(L3:N22),L3:N22)</f>
        <v>668.80000000000018</v>
      </c>
      <c r="Q3">
        <v>-112.99999999999999</v>
      </c>
      <c r="R3">
        <v>-53.199999999999989</v>
      </c>
      <c r="T3" s="2" t="s">
        <v>155</v>
      </c>
      <c r="U3" s="170" cm="1">
        <f t="array" ref="U3:U22">ABS(MMULT(B3:D22,P17:P19))</f>
        <v>45.492608781354107</v>
      </c>
    </row>
    <row r="4" spans="1:21" ht="15.6" x14ac:dyDescent="0.35">
      <c r="A4" s="2" t="s">
        <v>155</v>
      </c>
      <c r="B4" s="8">
        <v>85</v>
      </c>
      <c r="C4" s="8">
        <v>46</v>
      </c>
      <c r="D4" s="8">
        <v>6</v>
      </c>
      <c r="E4" s="8"/>
      <c r="F4" s="22" t="s">
        <v>168</v>
      </c>
      <c r="G4" s="21">
        <f>AVERAGE(B8:B12)</f>
        <v>70</v>
      </c>
      <c r="H4" s="21">
        <f>AVERAGE(C8:C12)</f>
        <v>49.6</v>
      </c>
      <c r="I4" s="21">
        <f>AVERAGE(D8:D12)</f>
        <v>8.4</v>
      </c>
      <c r="L4">
        <f t="shared" si="0"/>
        <v>3.7999999999999972</v>
      </c>
      <c r="M4">
        <f t="shared" si="0"/>
        <v>3.3999999999999986</v>
      </c>
      <c r="N4">
        <f t="shared" si="0"/>
        <v>-3.1999999999999993</v>
      </c>
      <c r="P4">
        <v>-112.99999999999999</v>
      </c>
      <c r="Q4">
        <v>2373.1999999999998</v>
      </c>
      <c r="R4">
        <v>-126.6</v>
      </c>
      <c r="T4" s="2" t="s">
        <v>155</v>
      </c>
      <c r="U4" s="170">
        <v>46.498891166253443</v>
      </c>
    </row>
    <row r="5" spans="1:21" ht="15.6" x14ac:dyDescent="0.35">
      <c r="A5" s="2" t="s">
        <v>155</v>
      </c>
      <c r="B5" s="8">
        <v>87</v>
      </c>
      <c r="C5" s="8">
        <v>37</v>
      </c>
      <c r="D5" s="8">
        <v>10</v>
      </c>
      <c r="E5" s="8"/>
      <c r="F5" s="22" t="s">
        <v>203</v>
      </c>
      <c r="G5" s="21">
        <f>AVERAGE(B13:B17)</f>
        <v>79.599999999999994</v>
      </c>
      <c r="H5" s="21">
        <f>AVERAGE(C13:C17)</f>
        <v>50.8</v>
      </c>
      <c r="I5" s="21">
        <f>AVERAGE(D13:D17)</f>
        <v>8.1999999999999993</v>
      </c>
      <c r="J5" s="21"/>
      <c r="L5">
        <f t="shared" si="0"/>
        <v>5.7999999999999972</v>
      </c>
      <c r="M5">
        <f t="shared" si="0"/>
        <v>-5.6000000000000014</v>
      </c>
      <c r="N5">
        <f t="shared" si="0"/>
        <v>0.80000000000000071</v>
      </c>
      <c r="O5" t="s">
        <v>202</v>
      </c>
      <c r="P5">
        <v>-53.199999999999989</v>
      </c>
      <c r="Q5">
        <v>-126.6</v>
      </c>
      <c r="R5">
        <v>45.999999999999993</v>
      </c>
      <c r="T5" s="2" t="s">
        <v>155</v>
      </c>
      <c r="U5" s="170">
        <v>50.712900002933708</v>
      </c>
    </row>
    <row r="6" spans="1:21" ht="15.6" x14ac:dyDescent="0.35">
      <c r="A6" s="2" t="s">
        <v>155</v>
      </c>
      <c r="B6" s="8">
        <v>86</v>
      </c>
      <c r="C6" s="8">
        <v>48</v>
      </c>
      <c r="D6" s="8">
        <v>10</v>
      </c>
      <c r="E6" s="8"/>
      <c r="F6" s="22" t="s">
        <v>201</v>
      </c>
      <c r="G6" s="21">
        <f>AVERAGE(B18:B22)</f>
        <v>78.8</v>
      </c>
      <c r="H6" s="21">
        <f>AVERAGE(C18:C22)</f>
        <v>50</v>
      </c>
      <c r="I6" s="21">
        <f>AVERAGE(D18:D22)</f>
        <v>8.6</v>
      </c>
      <c r="J6" s="21"/>
      <c r="L6">
        <f t="shared" si="0"/>
        <v>4.7999999999999972</v>
      </c>
      <c r="M6">
        <f t="shared" si="0"/>
        <v>5.3999999999999986</v>
      </c>
      <c r="N6">
        <f t="shared" si="0"/>
        <v>0.80000000000000071</v>
      </c>
      <c r="P6" t="str">
        <f ca="1">_xlfn.FORMULATEXT(P3)</f>
        <v>=MMULT(TRANSPOSE(L3:N22),L3:N22)</v>
      </c>
      <c r="T6" s="2" t="s">
        <v>155</v>
      </c>
      <c r="U6" s="170">
        <v>50.55503858302113</v>
      </c>
    </row>
    <row r="7" spans="1:21" ht="16.2" x14ac:dyDescent="0.35">
      <c r="A7" s="2" t="s">
        <v>155</v>
      </c>
      <c r="B7" s="8">
        <v>72</v>
      </c>
      <c r="C7" s="8">
        <v>47</v>
      </c>
      <c r="D7" s="8">
        <v>10</v>
      </c>
      <c r="E7" s="8"/>
      <c r="F7" s="12" t="s">
        <v>200</v>
      </c>
      <c r="G7" s="21">
        <f>5/20*G3+5/20*G4+5/20*G5+5/20*G6</f>
        <v>77.399999999999991</v>
      </c>
      <c r="H7" s="21">
        <f>5/20*H3+5/20*H4+5/20*H5+5/20*H6</f>
        <v>48.25</v>
      </c>
      <c r="I7" s="21">
        <f>5/20*I3+5/20*I4+5/20*I5+5/20*I6</f>
        <v>8.6</v>
      </c>
      <c r="L7">
        <f t="shared" si="0"/>
        <v>-9.2000000000000028</v>
      </c>
      <c r="M7">
        <f t="shared" si="0"/>
        <v>4.3999999999999986</v>
      </c>
      <c r="N7">
        <f t="shared" si="0"/>
        <v>0.80000000000000071</v>
      </c>
      <c r="T7" s="2" t="s">
        <v>155</v>
      </c>
      <c r="U7" s="170">
        <v>43.954804570961358</v>
      </c>
    </row>
    <row r="8" spans="1:21" x14ac:dyDescent="0.3">
      <c r="A8" s="2" t="s">
        <v>148</v>
      </c>
      <c r="B8" s="8">
        <v>74</v>
      </c>
      <c r="C8" s="8">
        <v>39</v>
      </c>
      <c r="D8" s="8">
        <v>6</v>
      </c>
      <c r="E8" s="8"/>
      <c r="G8" s="21" t="str">
        <f ca="1">_xlfn.FORMULATEXT(G3)</f>
        <v>=AVERAGE(B3:B7)</v>
      </c>
      <c r="H8" s="21"/>
      <c r="I8" s="21"/>
      <c r="L8" s="21">
        <f t="shared" ref="L8:N12" si="1">B8-G$4</f>
        <v>4</v>
      </c>
      <c r="M8" s="21">
        <f t="shared" si="1"/>
        <v>-10.600000000000001</v>
      </c>
      <c r="N8" s="21">
        <f t="shared" si="1"/>
        <v>-2.4000000000000004</v>
      </c>
      <c r="P8" t="s">
        <v>173</v>
      </c>
      <c r="T8" s="2" t="s">
        <v>148</v>
      </c>
      <c r="U8" s="169">
        <v>41.136981424245334</v>
      </c>
    </row>
    <row r="9" spans="1:21" ht="15.6" x14ac:dyDescent="0.35">
      <c r="A9" s="2" t="s">
        <v>148</v>
      </c>
      <c r="B9" s="8">
        <v>73</v>
      </c>
      <c r="C9" s="8">
        <v>70</v>
      </c>
      <c r="D9" s="8">
        <v>7</v>
      </c>
      <c r="E9" s="8"/>
      <c r="G9" t="str">
        <f ca="1">_xlfn.FORMULATEXT(G7)</f>
        <v>=5/20*G3+5/20*G4+5/20*G5+5/20*G6</v>
      </c>
      <c r="J9" s="21"/>
      <c r="L9" s="21">
        <f t="shared" si="1"/>
        <v>3</v>
      </c>
      <c r="M9" s="21">
        <f t="shared" si="1"/>
        <v>20.399999999999999</v>
      </c>
      <c r="N9" s="21">
        <f t="shared" si="1"/>
        <v>-1.4000000000000004</v>
      </c>
      <c r="O9" t="s">
        <v>199</v>
      </c>
      <c r="P9" t="s">
        <v>170</v>
      </c>
      <c r="T9" s="2" t="s">
        <v>148</v>
      </c>
      <c r="U9" s="169">
        <v>42.428113546982033</v>
      </c>
    </row>
    <row r="10" spans="1:21" x14ac:dyDescent="0.3">
      <c r="A10" s="2" t="s">
        <v>148</v>
      </c>
      <c r="B10" s="8">
        <v>66</v>
      </c>
      <c r="C10" s="8">
        <v>31</v>
      </c>
      <c r="D10" s="8">
        <v>10</v>
      </c>
      <c r="E10" s="8"/>
      <c r="J10" s="21"/>
      <c r="L10" s="21">
        <f t="shared" si="1"/>
        <v>-4</v>
      </c>
      <c r="M10" s="21">
        <f t="shared" si="1"/>
        <v>-18.600000000000001</v>
      </c>
      <c r="N10" s="21">
        <f t="shared" si="1"/>
        <v>1.5999999999999996</v>
      </c>
      <c r="P10" s="21" cm="1">
        <f t="array" ref="P10:R12">MMULT(MINVERSE(P3:R5),F21:H23)</f>
        <v>0.67372260595101818</v>
      </c>
      <c r="Q10" s="21">
        <v>-0.21700561752243247</v>
      </c>
      <c r="R10">
        <v>2.7223956291375299E-2</v>
      </c>
      <c r="T10" s="2" t="s">
        <v>148</v>
      </c>
      <c r="U10" s="169">
        <v>40.685092316458388</v>
      </c>
    </row>
    <row r="11" spans="1:21" x14ac:dyDescent="0.3">
      <c r="A11" s="2" t="s">
        <v>148</v>
      </c>
      <c r="B11" s="8">
        <v>60</v>
      </c>
      <c r="C11" s="8">
        <v>59</v>
      </c>
      <c r="D11" s="8">
        <v>9</v>
      </c>
      <c r="E11" s="8"/>
      <c r="F11" t="s">
        <v>198</v>
      </c>
      <c r="I11" s="21"/>
      <c r="J11" s="21"/>
      <c r="L11" s="21">
        <f t="shared" si="1"/>
        <v>-10</v>
      </c>
      <c r="M11" s="21">
        <f t="shared" si="1"/>
        <v>9.3999999999999986</v>
      </c>
      <c r="N11" s="21">
        <f t="shared" si="1"/>
        <v>0.59999999999999964</v>
      </c>
      <c r="P11" s="21">
        <v>4.8106828666357279E-2</v>
      </c>
      <c r="Q11" s="21">
        <v>4.7340809191776002E-2</v>
      </c>
      <c r="R11">
        <v>-4.2629890205745178E-3</v>
      </c>
      <c r="T11" s="2" t="s">
        <v>148</v>
      </c>
      <c r="U11" s="169">
        <v>37.779103580791038</v>
      </c>
    </row>
    <row r="12" spans="1:21" ht="16.2" x14ac:dyDescent="0.35">
      <c r="A12" s="2" t="s">
        <v>148</v>
      </c>
      <c r="B12" s="8">
        <v>77</v>
      </c>
      <c r="C12" s="8">
        <v>49</v>
      </c>
      <c r="D12" s="8">
        <v>10</v>
      </c>
      <c r="F12" s="12" t="s">
        <v>197</v>
      </c>
      <c r="I12" s="21"/>
      <c r="J12" s="21"/>
      <c r="L12" s="21">
        <f t="shared" si="1"/>
        <v>7</v>
      </c>
      <c r="M12" s="21">
        <f t="shared" si="1"/>
        <v>-0.60000000000000142</v>
      </c>
      <c r="N12" s="21">
        <f t="shared" si="1"/>
        <v>1.5999999999999996</v>
      </c>
      <c r="P12" s="21">
        <v>1.22461667708163</v>
      </c>
      <c r="Q12" s="21">
        <v>-0.62937722627205539</v>
      </c>
      <c r="R12">
        <v>8.0622175319487607E-2</v>
      </c>
      <c r="T12" s="2" t="s">
        <v>148</v>
      </c>
      <c r="U12" s="169">
        <v>46.358562803409214</v>
      </c>
    </row>
    <row r="13" spans="1:21" x14ac:dyDescent="0.3">
      <c r="A13" s="2" t="s">
        <v>196</v>
      </c>
      <c r="B13" s="8">
        <v>73</v>
      </c>
      <c r="C13" s="8">
        <v>46</v>
      </c>
      <c r="D13" s="8">
        <v>9</v>
      </c>
      <c r="G13" s="21">
        <f t="shared" ref="G13:I16" si="2">G3-G$7</f>
        <v>3.8000000000000114</v>
      </c>
      <c r="H13" s="21">
        <f t="shared" si="2"/>
        <v>-5.6499999999999986</v>
      </c>
      <c r="I13" s="21">
        <f t="shared" si="2"/>
        <v>0.59999999999999964</v>
      </c>
      <c r="L13" s="21">
        <f t="shared" ref="L13:N17" si="3">B13-G$5</f>
        <v>-6.5999999999999943</v>
      </c>
      <c r="M13" s="21">
        <f t="shared" si="3"/>
        <v>-4.7999999999999972</v>
      </c>
      <c r="N13" s="21">
        <f t="shared" si="3"/>
        <v>0.80000000000000071</v>
      </c>
      <c r="P13" t="str">
        <f ca="1">_xlfn.FORMULATEXT(P10)</f>
        <v>=MMULT(MINVERSE(P3:R5),F21:H23)</v>
      </c>
      <c r="T13" s="2" t="s">
        <v>196</v>
      </c>
      <c r="U13" s="162">
        <v>43.513383570795696</v>
      </c>
    </row>
    <row r="14" spans="1:21" x14ac:dyDescent="0.3">
      <c r="A14" s="2" t="s">
        <v>196</v>
      </c>
      <c r="B14" s="8">
        <v>84</v>
      </c>
      <c r="C14" s="8">
        <v>66</v>
      </c>
      <c r="D14" s="8">
        <v>7</v>
      </c>
      <c r="G14" s="21">
        <f t="shared" si="2"/>
        <v>-7.3999999999999915</v>
      </c>
      <c r="H14" s="21">
        <f t="shared" si="2"/>
        <v>1.3500000000000014</v>
      </c>
      <c r="I14" s="21">
        <f t="shared" si="2"/>
        <v>-0.19999999999999929</v>
      </c>
      <c r="L14" s="21">
        <f t="shared" si="3"/>
        <v>4.4000000000000057</v>
      </c>
      <c r="M14" s="21">
        <f t="shared" si="3"/>
        <v>15.200000000000003</v>
      </c>
      <c r="N14" s="21">
        <f t="shared" si="3"/>
        <v>-1.1999999999999993</v>
      </c>
      <c r="O14" s="21"/>
      <c r="T14" s="2" t="s">
        <v>196</v>
      </c>
      <c r="U14" s="162">
        <v>47.478462544047431</v>
      </c>
    </row>
    <row r="15" spans="1:21" x14ac:dyDescent="0.3">
      <c r="A15" s="2" t="s">
        <v>196</v>
      </c>
      <c r="B15" s="8">
        <v>73</v>
      </c>
      <c r="C15" s="8">
        <v>61</v>
      </c>
      <c r="D15" s="8">
        <v>8</v>
      </c>
      <c r="G15" s="21">
        <f t="shared" si="2"/>
        <v>2.2000000000000028</v>
      </c>
      <c r="H15" s="21">
        <f t="shared" si="2"/>
        <v>2.5499999999999972</v>
      </c>
      <c r="I15" s="21">
        <f t="shared" si="2"/>
        <v>-0.40000000000000036</v>
      </c>
      <c r="L15" s="21">
        <f t="shared" si="3"/>
        <v>-6.5999999999999943</v>
      </c>
      <c r="M15" s="21">
        <f t="shared" si="3"/>
        <v>10.200000000000003</v>
      </c>
      <c r="N15" s="21">
        <f t="shared" si="3"/>
        <v>-0.19999999999999929</v>
      </c>
      <c r="P15" t="s">
        <v>164</v>
      </c>
      <c r="T15" s="2" t="s">
        <v>196</v>
      </c>
      <c r="U15" s="162">
        <v>43.055719671145972</v>
      </c>
    </row>
    <row r="16" spans="1:21" x14ac:dyDescent="0.3">
      <c r="A16" s="2" t="s">
        <v>196</v>
      </c>
      <c r="B16" s="8">
        <v>80</v>
      </c>
      <c r="C16" s="8">
        <v>36</v>
      </c>
      <c r="D16" s="8">
        <v>9</v>
      </c>
      <c r="G16" s="21">
        <f t="shared" si="2"/>
        <v>1.4000000000000057</v>
      </c>
      <c r="H16" s="21">
        <f t="shared" si="2"/>
        <v>1.75</v>
      </c>
      <c r="I16" s="21">
        <f t="shared" si="2"/>
        <v>0</v>
      </c>
      <c r="L16" s="21">
        <f t="shared" si="3"/>
        <v>0.40000000000000568</v>
      </c>
      <c r="M16" s="21">
        <f t="shared" si="3"/>
        <v>-14.799999999999997</v>
      </c>
      <c r="N16" s="21">
        <f t="shared" si="3"/>
        <v>0.80000000000000071</v>
      </c>
      <c r="P16" s="168" cm="1">
        <f t="array" ref="P16:R21">[2]!eigVECTReal(P10:R12)</f>
        <v>0.71181042896777047</v>
      </c>
      <c r="Q16" s="167">
        <v>8.4278094799770303E-2</v>
      </c>
      <c r="R16" s="166">
        <v>5.5970666947410081E-3</v>
      </c>
      <c r="S16" s="12" t="s">
        <v>13</v>
      </c>
      <c r="T16" s="2" t="s">
        <v>196</v>
      </c>
      <c r="U16" s="162">
        <v>46.516101683925726</v>
      </c>
    </row>
    <row r="17" spans="1:21" x14ac:dyDescent="0.3">
      <c r="A17" s="2" t="s">
        <v>196</v>
      </c>
      <c r="B17" s="8">
        <v>88</v>
      </c>
      <c r="C17" s="8">
        <v>45</v>
      </c>
      <c r="D17" s="8">
        <v>8</v>
      </c>
      <c r="G17" s="21" t="str">
        <f ca="1">_xlfn.FORMULATEXT(G13)</f>
        <v>=G3-G$7</v>
      </c>
      <c r="H17" s="21"/>
      <c r="L17" s="21">
        <f t="shared" si="3"/>
        <v>8.4000000000000057</v>
      </c>
      <c r="M17" s="21">
        <f t="shared" si="3"/>
        <v>-5.7999999999999972</v>
      </c>
      <c r="N17" s="21">
        <f t="shared" si="3"/>
        <v>-0.19999999999999929</v>
      </c>
      <c r="P17" s="165">
        <v>-0.46942216485529076</v>
      </c>
      <c r="Q17" s="164">
        <v>0.15936048073689768</v>
      </c>
      <c r="R17" s="163">
        <v>-5.4814560212773523E-3</v>
      </c>
      <c r="S17" t="s">
        <v>91</v>
      </c>
      <c r="T17" s="2" t="s">
        <v>196</v>
      </c>
      <c r="U17" s="162">
        <v>49.643872878604114</v>
      </c>
    </row>
    <row r="18" spans="1:21" x14ac:dyDescent="0.3">
      <c r="A18" s="2" t="s">
        <v>194</v>
      </c>
      <c r="B18" s="8">
        <v>72</v>
      </c>
      <c r="C18" s="8">
        <v>60</v>
      </c>
      <c r="D18" s="8">
        <v>10</v>
      </c>
      <c r="G18" s="21"/>
      <c r="H18" s="21"/>
      <c r="L18" s="21">
        <f t="shared" ref="L18:N22" si="4">B18-G$6</f>
        <v>-6.7999999999999972</v>
      </c>
      <c r="M18" s="21">
        <f t="shared" si="4"/>
        <v>10</v>
      </c>
      <c r="N18" s="21">
        <f t="shared" si="4"/>
        <v>1.4000000000000004</v>
      </c>
      <c r="P18" s="161">
        <v>-2.8323704085701246E-2</v>
      </c>
      <c r="Q18" s="26">
        <v>0.31551096090768976</v>
      </c>
      <c r="R18" s="9">
        <v>0.10784270678677678</v>
      </c>
      <c r="T18" s="2" t="s">
        <v>194</v>
      </c>
      <c r="U18" s="158">
        <v>44.323012724075475</v>
      </c>
    </row>
    <row r="19" spans="1:21" x14ac:dyDescent="0.3">
      <c r="A19" s="2" t="s">
        <v>194</v>
      </c>
      <c r="B19" s="8">
        <v>77</v>
      </c>
      <c r="C19" s="8">
        <v>55</v>
      </c>
      <c r="D19" s="8">
        <v>9</v>
      </c>
      <c r="F19" t="s">
        <v>195</v>
      </c>
      <c r="G19" s="21"/>
      <c r="H19" s="21"/>
      <c r="L19" s="21">
        <f t="shared" si="4"/>
        <v>-1.7999999999999972</v>
      </c>
      <c r="M19" s="21">
        <f t="shared" si="4"/>
        <v>5</v>
      </c>
      <c r="N19" s="21">
        <f t="shared" si="4"/>
        <v>0.40000000000000036</v>
      </c>
      <c r="P19" s="160">
        <v>-0.88251946093524636</v>
      </c>
      <c r="Q19" s="159">
        <v>-0.93544485178251491</v>
      </c>
      <c r="R19" s="5">
        <v>0.99415285757914928</v>
      </c>
      <c r="T19" s="2" t="s">
        <v>194</v>
      </c>
      <c r="U19" s="158">
        <v>45.645985566988166</v>
      </c>
    </row>
    <row r="20" spans="1:21" ht="15.6" x14ac:dyDescent="0.35">
      <c r="A20" s="2" t="s">
        <v>194</v>
      </c>
      <c r="B20" s="8">
        <v>78</v>
      </c>
      <c r="C20" s="8">
        <v>30</v>
      </c>
      <c r="D20" s="8">
        <v>10</v>
      </c>
      <c r="F20" t="s">
        <v>174</v>
      </c>
      <c r="L20" s="21">
        <f t="shared" si="4"/>
        <v>-0.79999999999999716</v>
      </c>
      <c r="M20" s="21">
        <f t="shared" si="4"/>
        <v>-20</v>
      </c>
      <c r="N20" s="21">
        <f t="shared" si="4"/>
        <v>1.4000000000000004</v>
      </c>
      <c r="P20">
        <v>-3.3296905627360607E-17</v>
      </c>
      <c r="Q20">
        <v>-3.742322755922799E-18</v>
      </c>
      <c r="R20">
        <v>1.3422795900839816E-19</v>
      </c>
      <c r="T20" s="2" t="s">
        <v>194</v>
      </c>
      <c r="U20" s="158">
        <v>46.289834590636183</v>
      </c>
    </row>
    <row r="21" spans="1:21" x14ac:dyDescent="0.3">
      <c r="A21" s="2" t="s">
        <v>194</v>
      </c>
      <c r="B21" s="8">
        <v>80</v>
      </c>
      <c r="C21" s="8">
        <v>60</v>
      </c>
      <c r="D21" s="8">
        <v>5</v>
      </c>
      <c r="F21" cm="1">
        <f t="array" ref="F21:H23">5*MMULT(TRANSPOSE(G13:I16),G13:I16)</f>
        <v>380</v>
      </c>
      <c r="G21">
        <v>-117.00000000000024</v>
      </c>
      <c r="H21">
        <v>14.399999999999986</v>
      </c>
      <c r="L21" s="21">
        <f t="shared" si="4"/>
        <v>1.2000000000000028</v>
      </c>
      <c r="M21" s="21">
        <f t="shared" si="4"/>
        <v>10</v>
      </c>
      <c r="N21" s="21">
        <f t="shared" si="4"/>
        <v>-3.5999999999999996</v>
      </c>
      <c r="P21">
        <v>1.1102230246251565E-16</v>
      </c>
      <c r="Q21">
        <v>8.5001450322863548E-17</v>
      </c>
      <c r="R21">
        <v>1.3877787807814457E-17</v>
      </c>
      <c r="T21" s="2" t="s">
        <v>194</v>
      </c>
      <c r="U21" s="158">
        <v>43.665792738241571</v>
      </c>
    </row>
    <row r="22" spans="1:21" x14ac:dyDescent="0.3">
      <c r="A22" s="2" t="s">
        <v>194</v>
      </c>
      <c r="B22" s="8">
        <v>87</v>
      </c>
      <c r="C22" s="8">
        <v>45</v>
      </c>
      <c r="D22" s="8">
        <v>9</v>
      </c>
      <c r="F22">
        <v>-117.00000000000024</v>
      </c>
      <c r="G22">
        <v>216.54999999999987</v>
      </c>
      <c r="H22">
        <v>-23.399999999999981</v>
      </c>
      <c r="L22" s="21">
        <f t="shared" si="4"/>
        <v>8.2000000000000028</v>
      </c>
      <c r="M22" s="21">
        <f t="shared" si="4"/>
        <v>-5</v>
      </c>
      <c r="N22" s="21">
        <f t="shared" si="4"/>
        <v>0.40000000000000036</v>
      </c>
      <c r="P22" t="str">
        <f ca="1">_xlfn.FORMULATEXT(P16)</f>
        <v>=eigVECTReal(P10:R12)</v>
      </c>
      <c r="T22" s="2" t="s">
        <v>194</v>
      </c>
      <c r="U22" s="158">
        <v>50.056970174684068</v>
      </c>
    </row>
    <row r="23" spans="1:21" x14ac:dyDescent="0.3">
      <c r="F23">
        <v>14.399999999999986</v>
      </c>
      <c r="G23">
        <v>-23.399999999999981</v>
      </c>
      <c r="H23">
        <v>2.799999999999998</v>
      </c>
      <c r="L23" s="21" t="str">
        <f ca="1">_xlfn.FORMULATEXT(L3)</f>
        <v>=B3-G$3</v>
      </c>
      <c r="M23" s="21" t="str">
        <f ca="1">_xlfn.FORMULATEXT(M3)</f>
        <v>=C3-H$3</v>
      </c>
      <c r="N23" s="21" t="str">
        <f ca="1">_xlfn.FORMULATEXT(N3)</f>
        <v>=D3-I$3</v>
      </c>
      <c r="U23" t="str">
        <f ca="1">_xlfn.FORMULATEXT(U3)</f>
        <v>=ABS(MMULT(B3:D22,P17:P19))</v>
      </c>
    </row>
    <row r="24" spans="1:21" x14ac:dyDescent="0.3">
      <c r="A24" s="2" t="s">
        <v>162</v>
      </c>
      <c r="B24" s="8">
        <v>4</v>
      </c>
      <c r="C24" t="s">
        <v>161</v>
      </c>
      <c r="F24" t="str">
        <f ca="1">_xlfn.FORMULATEXT(F21)</f>
        <v>=5*MMULT(TRANSPOSE(G13:I16),G13:I16)</v>
      </c>
      <c r="L24" s="21" t="str">
        <f ca="1">_xlfn.FORMULATEXT(L8)</f>
        <v>=B8-G$4</v>
      </c>
      <c r="M24" s="21" t="str">
        <f ca="1">_xlfn.FORMULATEXT(M8)</f>
        <v>=C8-H$4</v>
      </c>
      <c r="N24" s="21" t="str">
        <f ca="1">_xlfn.FORMULATEXT(N8)</f>
        <v>=D8-I$4</v>
      </c>
    </row>
    <row r="25" spans="1:21" x14ac:dyDescent="0.3">
      <c r="A25" s="2" t="s">
        <v>193</v>
      </c>
      <c r="B25" s="8">
        <v>5</v>
      </c>
      <c r="C25" t="s">
        <v>192</v>
      </c>
      <c r="G25" s="21"/>
      <c r="H25" s="21"/>
      <c r="L25" t="str">
        <f ca="1">_xlfn.FORMULATEXT(L13)</f>
        <v>=B13-G$5</v>
      </c>
      <c r="M25" t="str">
        <f ca="1">_xlfn.FORMULATEXT(M13)</f>
        <v>=C13-H$5</v>
      </c>
      <c r="N25" t="str">
        <f ca="1">_xlfn.FORMULATEXT(N13)</f>
        <v>=D13-I$5</v>
      </c>
    </row>
    <row r="26" spans="1:21" x14ac:dyDescent="0.3">
      <c r="A26" s="2" t="s">
        <v>191</v>
      </c>
      <c r="B26" s="8">
        <v>20</v>
      </c>
      <c r="C26" t="s">
        <v>151</v>
      </c>
      <c r="G26" s="21"/>
      <c r="H26" s="21"/>
      <c r="L26" t="str">
        <f ca="1">_xlfn.FORMULATEXT(L18)</f>
        <v>=B18-G$6</v>
      </c>
      <c r="M26" t="str">
        <f ca="1">_xlfn.FORMULATEXT(M18)</f>
        <v>=C18-H$6</v>
      </c>
      <c r="N26" t="str">
        <f ca="1">_xlfn.FORMULATEXT(N18)</f>
        <v>=D18-I$6</v>
      </c>
    </row>
    <row r="27" spans="1:21" x14ac:dyDescent="0.3">
      <c r="A27" s="2"/>
      <c r="B27" s="27"/>
      <c r="G27" s="21"/>
      <c r="H27" s="21"/>
    </row>
    <row r="28" spans="1:21" x14ac:dyDescent="0.3">
      <c r="A28" s="2" t="s">
        <v>149</v>
      </c>
      <c r="B28" s="27"/>
      <c r="F28" t="s">
        <v>190</v>
      </c>
      <c r="P28" t="s">
        <v>189</v>
      </c>
    </row>
    <row r="29" spans="1:21" ht="15.6" x14ac:dyDescent="0.35">
      <c r="A29" s="2" cm="1">
        <f t="array" ref="A29">[2]!BOXTEST(A3:D22)</f>
        <v>0.40665308552243851</v>
      </c>
      <c r="B29" s="27"/>
      <c r="F29" t="s">
        <v>188</v>
      </c>
      <c r="G29" s="21" cm="1">
        <f t="array" ref="G29:I31">5*MMULT(TRANSPOSE(G13:I13),G13:I13)</f>
        <v>72.200000000000429</v>
      </c>
      <c r="H29" s="21">
        <v>-107.35000000000029</v>
      </c>
      <c r="I29">
        <v>11.400000000000027</v>
      </c>
      <c r="O29" t="s">
        <v>187</v>
      </c>
      <c r="P29" cm="1">
        <f t="array" ref="P29:R31">MMULT(TRANSPOSE(L3:N7),L3:N7)</f>
        <v>182.8</v>
      </c>
      <c r="Q29">
        <v>5.4000000000000128</v>
      </c>
      <c r="R29">
        <v>-15.2</v>
      </c>
    </row>
    <row r="30" spans="1:21" x14ac:dyDescent="0.3">
      <c r="A30" s="112" t="str">
        <f ca="1">_xlfn.FORMULATEXT(A29)</f>
        <v>=BOXTEST(A3:D22)</v>
      </c>
      <c r="B30" s="27"/>
      <c r="F30" s="8"/>
      <c r="G30" s="21">
        <v>-107.35000000000029</v>
      </c>
      <c r="H30" s="21">
        <v>159.61249999999993</v>
      </c>
      <c r="I30">
        <v>-16.949999999999985</v>
      </c>
      <c r="P30">
        <v>5.4000000000000128</v>
      </c>
      <c r="Q30">
        <v>149.19999999999999</v>
      </c>
      <c r="R30">
        <v>-13.6</v>
      </c>
    </row>
    <row r="31" spans="1:21" x14ac:dyDescent="0.3">
      <c r="F31" s="8"/>
      <c r="G31" s="21">
        <v>11.400000000000027</v>
      </c>
      <c r="H31" s="21">
        <v>-16.949999999999985</v>
      </c>
      <c r="I31">
        <v>1.799999999999998</v>
      </c>
      <c r="P31">
        <v>-15.2</v>
      </c>
      <c r="Q31">
        <v>-13.6</v>
      </c>
      <c r="R31">
        <v>12.799999999999997</v>
      </c>
    </row>
    <row r="32" spans="1:21" x14ac:dyDescent="0.3">
      <c r="F32" s="8"/>
      <c r="G32" t="str">
        <f ca="1">_xlfn.FORMULATEXT(G29)</f>
        <v>=5*MMULT(TRANSPOSE(G13:I13),G13:I13)</v>
      </c>
      <c r="P32" t="str">
        <f ca="1">_xlfn.FORMULATEXT(P29)</f>
        <v>=MMULT(TRANSPOSE(L3:N7),L3:N7)</v>
      </c>
    </row>
    <row r="33" spans="6:18" x14ac:dyDescent="0.3">
      <c r="F33" s="8"/>
    </row>
    <row r="34" spans="6:18" ht="15.6" x14ac:dyDescent="0.35">
      <c r="F34" t="s">
        <v>186</v>
      </c>
      <c r="G34" s="21" cm="1">
        <f t="array" ref="G34:I36">5*MMULT(TRANSPOSE(G14:I14),G14:I14)</f>
        <v>273.79999999999939</v>
      </c>
      <c r="H34" s="21">
        <v>-49.949999999999989</v>
      </c>
      <c r="I34">
        <v>7.3999999999999657</v>
      </c>
      <c r="O34" t="s">
        <v>185</v>
      </c>
      <c r="P34" s="21" cm="1">
        <f t="array" ref="P34:R36">MMULT(TRANSPOSE(L8:N12),L8:N12)</f>
        <v>190</v>
      </c>
      <c r="Q34">
        <v>-5.0000000000000071</v>
      </c>
      <c r="R34">
        <v>-15.000000000000002</v>
      </c>
    </row>
    <row r="35" spans="6:18" x14ac:dyDescent="0.3">
      <c r="F35" s="8"/>
      <c r="G35" s="21">
        <v>-49.949999999999989</v>
      </c>
      <c r="H35" s="21">
        <v>9.1125000000000185</v>
      </c>
      <c r="I35">
        <v>-1.3499999999999968</v>
      </c>
      <c r="P35">
        <v>-5.0000000000000071</v>
      </c>
      <c r="Q35">
        <v>963.2</v>
      </c>
      <c r="R35">
        <v>-28.2</v>
      </c>
    </row>
    <row r="36" spans="6:18" x14ac:dyDescent="0.3">
      <c r="F36" s="8"/>
      <c r="G36" s="21">
        <v>7.3999999999999657</v>
      </c>
      <c r="H36" s="21">
        <v>-1.3499999999999968</v>
      </c>
      <c r="I36">
        <v>0.19999999999999857</v>
      </c>
      <c r="P36">
        <v>-15.000000000000002</v>
      </c>
      <c r="Q36">
        <v>-28.2</v>
      </c>
      <c r="R36">
        <v>13.2</v>
      </c>
    </row>
    <row r="37" spans="6:18" x14ac:dyDescent="0.3">
      <c r="F37" s="8"/>
      <c r="G37" t="str">
        <f ca="1">_xlfn.FORMULATEXT(G34)</f>
        <v>=5*MMULT(TRANSPOSE(G14:I14),G14:I14)</v>
      </c>
      <c r="P37" t="str">
        <f ca="1">_xlfn.FORMULATEXT(P34)</f>
        <v>=MMULT(TRANSPOSE(L8:N12),L8:N12)</v>
      </c>
    </row>
    <row r="38" spans="6:18" x14ac:dyDescent="0.3">
      <c r="F38" s="8"/>
    </row>
    <row r="39" spans="6:18" ht="15.6" x14ac:dyDescent="0.35">
      <c r="F39" t="s">
        <v>184</v>
      </c>
      <c r="G39" s="21" cm="1">
        <f t="array" ref="G39:I41">5*MMULT(TRANSPOSE(G15:I15),G15:I15)</f>
        <v>24.20000000000006</v>
      </c>
      <c r="H39" s="21">
        <v>28.050000000000004</v>
      </c>
      <c r="I39">
        <v>-4.4000000000000092</v>
      </c>
      <c r="O39" t="s">
        <v>183</v>
      </c>
      <c r="P39" s="21" cm="1">
        <f t="array" ref="P39:R41">MMULT(TRANSPOSE(L13:N17),L13:N17)</f>
        <v>177.20000000000002</v>
      </c>
      <c r="Q39">
        <v>-23.400000000000009</v>
      </c>
      <c r="R39">
        <v>-10.599999999999998</v>
      </c>
    </row>
    <row r="40" spans="6:18" x14ac:dyDescent="0.3">
      <c r="F40" s="8"/>
      <c r="G40" s="21">
        <v>28.050000000000004</v>
      </c>
      <c r="H40" s="21">
        <v>32.512499999999925</v>
      </c>
      <c r="I40">
        <v>-5.0999999999999988</v>
      </c>
      <c r="P40">
        <v>-23.400000000000009</v>
      </c>
      <c r="Q40">
        <v>610.80000000000007</v>
      </c>
      <c r="R40">
        <v>-34.799999999999997</v>
      </c>
    </row>
    <row r="41" spans="6:18" x14ac:dyDescent="0.3">
      <c r="F41" s="8"/>
      <c r="G41" s="21">
        <v>-4.4000000000000092</v>
      </c>
      <c r="H41" s="21">
        <v>-5.0999999999999988</v>
      </c>
      <c r="I41">
        <v>0.80000000000000138</v>
      </c>
      <c r="P41">
        <v>-10.599999999999998</v>
      </c>
      <c r="Q41">
        <v>-34.799999999999997</v>
      </c>
      <c r="R41">
        <v>2.8</v>
      </c>
    </row>
    <row r="42" spans="6:18" x14ac:dyDescent="0.3">
      <c r="F42" s="8"/>
      <c r="G42" t="str">
        <f ca="1">_xlfn.FORMULATEXT(G39)</f>
        <v>=5*MMULT(TRANSPOSE(G15:I15),G15:I15)</v>
      </c>
      <c r="P42" t="str">
        <f ca="1">_xlfn.FORMULATEXT(P39)</f>
        <v>=MMULT(TRANSPOSE(L13:N17),L13:N17)</v>
      </c>
    </row>
    <row r="43" spans="6:18" x14ac:dyDescent="0.3">
      <c r="F43" s="8"/>
    </row>
    <row r="44" spans="6:18" ht="15.6" x14ac:dyDescent="0.35">
      <c r="F44" t="s">
        <v>182</v>
      </c>
      <c r="G44" s="21" cm="1">
        <f t="array" ref="G44:I46">5*MMULT(TRANSPOSE(G16:I16),G16:I16)</f>
        <v>9.8000000000000789</v>
      </c>
      <c r="H44" s="21">
        <v>12.25000000000005</v>
      </c>
      <c r="I44">
        <v>0</v>
      </c>
      <c r="O44" t="s">
        <v>181</v>
      </c>
      <c r="P44" s="21" cm="1">
        <f t="array" ref="P44:R46">MMULT(TRANSPOSE(L18:N22),L18:N22)</f>
        <v>118.8</v>
      </c>
      <c r="Q44">
        <v>-90</v>
      </c>
      <c r="R44">
        <v>-12.399999999999999</v>
      </c>
    </row>
    <row r="45" spans="6:18" x14ac:dyDescent="0.3">
      <c r="F45" s="8"/>
      <c r="G45" s="21">
        <v>12.25000000000005</v>
      </c>
      <c r="H45" s="21">
        <v>15.3125</v>
      </c>
      <c r="I45">
        <v>0</v>
      </c>
      <c r="P45">
        <v>-90</v>
      </c>
      <c r="Q45">
        <v>650</v>
      </c>
      <c r="R45">
        <v>-50</v>
      </c>
    </row>
    <row r="46" spans="6:18" x14ac:dyDescent="0.3">
      <c r="F46" s="8"/>
      <c r="G46" s="21">
        <v>0</v>
      </c>
      <c r="H46" s="21">
        <v>0</v>
      </c>
      <c r="I46">
        <v>0</v>
      </c>
      <c r="P46">
        <v>-12.399999999999999</v>
      </c>
      <c r="Q46">
        <v>-50</v>
      </c>
      <c r="R46">
        <v>17.2</v>
      </c>
    </row>
    <row r="47" spans="6:18" x14ac:dyDescent="0.3">
      <c r="F47" s="8"/>
      <c r="G47" t="str">
        <f ca="1">_xlfn.FORMULATEXT(G44)</f>
        <v>=5*MMULT(TRANSPOSE(G16:I16),G16:I16)</v>
      </c>
      <c r="P47" t="str">
        <f ca="1">_xlfn.FORMULATEXT(P44)</f>
        <v>=MMULT(TRANSPOSE(L18:N22),L18:N22)</v>
      </c>
    </row>
    <row r="48" spans="6:18" x14ac:dyDescent="0.3">
      <c r="F48" s="8"/>
    </row>
    <row r="49" spans="6:18" ht="15.6" x14ac:dyDescent="0.35">
      <c r="F49" t="s">
        <v>174</v>
      </c>
      <c r="G49" s="21" cm="1">
        <f t="array" ref="G49:I51">G29:I31+G34:I36+G39:I41+G44:I46</f>
        <v>379.99999999999994</v>
      </c>
      <c r="H49" s="21">
        <v>-117.00000000000023</v>
      </c>
      <c r="I49">
        <v>14.399999999999984</v>
      </c>
      <c r="O49" t="s">
        <v>165</v>
      </c>
      <c r="P49" s="21" cm="1">
        <f t="array" ref="P49:R51">P29:R31+P34:R36+_xlfn.ANCHORARRAY(P39)+_xlfn.ANCHORARRAY(P44)</f>
        <v>668.8</v>
      </c>
      <c r="Q49">
        <v>-113</v>
      </c>
      <c r="R49">
        <v>-53.199999999999996</v>
      </c>
    </row>
    <row r="50" spans="6:18" x14ac:dyDescent="0.3">
      <c r="G50" s="21">
        <v>-117.00000000000023</v>
      </c>
      <c r="H50" s="21">
        <v>216.54999999999987</v>
      </c>
      <c r="I50">
        <v>-23.399999999999981</v>
      </c>
      <c r="P50">
        <v>-113</v>
      </c>
      <c r="Q50">
        <v>2373.2000000000003</v>
      </c>
      <c r="R50">
        <v>-126.6</v>
      </c>
    </row>
    <row r="51" spans="6:18" x14ac:dyDescent="0.3">
      <c r="G51" s="21">
        <v>14.399999999999984</v>
      </c>
      <c r="H51">
        <v>-23.399999999999981</v>
      </c>
      <c r="I51">
        <v>2.799999999999998</v>
      </c>
      <c r="P51">
        <v>-53.199999999999996</v>
      </c>
      <c r="Q51">
        <v>-126.6</v>
      </c>
      <c r="R51">
        <v>46</v>
      </c>
    </row>
    <row r="52" spans="6:18" x14ac:dyDescent="0.3">
      <c r="F52" s="21"/>
      <c r="G52" t="str">
        <f ca="1">_xlfn.FORMULATEXT(G49)</f>
        <v>=G29:I31+G34:I36+G39:I41+G44:I46</v>
      </c>
      <c r="P52" t="str">
        <f ca="1">_xlfn.FORMULATEXT(P49)</f>
        <v>=P29:R31+P34:R36+P39#+P44#</v>
      </c>
    </row>
    <row r="53" spans="6:18" x14ac:dyDescent="0.3">
      <c r="F53" s="21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9DF56-D6EA-4F2C-B778-7AB904A63220}">
  <dimension ref="A1:AB33"/>
  <sheetViews>
    <sheetView zoomScaleNormal="100" workbookViewId="0">
      <selection activeCell="N30" sqref="N30"/>
    </sheetView>
  </sheetViews>
  <sheetFormatPr defaultRowHeight="14.4" x14ac:dyDescent="0.3"/>
  <cols>
    <col min="5" max="5" width="3.33203125" customWidth="1"/>
    <col min="11" max="11" width="43" customWidth="1"/>
    <col min="12" max="14" width="10.5546875" bestFit="1" customWidth="1"/>
    <col min="17" max="17" width="7.109375" customWidth="1"/>
    <col min="18" max="18" width="6.44140625" customWidth="1"/>
    <col min="24" max="24" width="3.6640625" customWidth="1"/>
    <col min="25" max="27" width="12.109375" bestFit="1" customWidth="1"/>
  </cols>
  <sheetData>
    <row r="1" spans="1:28" x14ac:dyDescent="0.3">
      <c r="A1" t="s">
        <v>180</v>
      </c>
      <c r="F1" s="23" t="s">
        <v>228</v>
      </c>
      <c r="L1" s="23" t="s">
        <v>227</v>
      </c>
    </row>
    <row r="2" spans="1:28" x14ac:dyDescent="0.3">
      <c r="B2" s="8" t="s">
        <v>178</v>
      </c>
      <c r="C2" s="8" t="s">
        <v>177</v>
      </c>
      <c r="D2" s="8" t="s">
        <v>176</v>
      </c>
      <c r="G2" s="8" t="s">
        <v>226</v>
      </c>
      <c r="H2" s="8" t="s">
        <v>225</v>
      </c>
      <c r="K2" s="2" t="s">
        <v>224</v>
      </c>
      <c r="L2" s="2" t="s">
        <v>155</v>
      </c>
      <c r="M2" s="2" t="s">
        <v>148</v>
      </c>
      <c r="N2" s="2" t="s">
        <v>196</v>
      </c>
      <c r="O2" s="2" t="s">
        <v>194</v>
      </c>
      <c r="P2" s="112" t="s">
        <v>223</v>
      </c>
    </row>
    <row r="3" spans="1:28" x14ac:dyDescent="0.3">
      <c r="A3" s="2" t="s">
        <v>155</v>
      </c>
      <c r="B3" s="8">
        <v>76</v>
      </c>
      <c r="C3" s="8">
        <v>35</v>
      </c>
      <c r="D3" s="8">
        <v>10</v>
      </c>
      <c r="F3" s="2" t="s">
        <v>155</v>
      </c>
      <c r="G3" s="8">
        <f>1/4</f>
        <v>0.25</v>
      </c>
      <c r="H3" s="8">
        <f>LN(G3)</f>
        <v>-1.3862943611198906</v>
      </c>
      <c r="K3" s="2" t="s">
        <v>155</v>
      </c>
      <c r="L3" s="21" cm="1">
        <f t="array" ref="L3">$G$25+MMULT($B3:$D3,TRANSPOSE($H$25:$J$25))+$H$3</f>
        <v>158.18396839346372</v>
      </c>
      <c r="M3" s="21" cm="1">
        <f t="array" ref="M3">$G$26+MMULT($B3:$D3,TRANSPOSE($H$26:$J$26))+$H$4</f>
        <v>157.30133073905455</v>
      </c>
      <c r="N3" s="21" cm="1">
        <f t="array" ref="N3">$G$27+MMULT($B3:$D3,TRANSPOSE($H$27:$J$27))+$H$5</f>
        <v>157.60804282768541</v>
      </c>
      <c r="O3" s="21" cm="1">
        <f t="array" ref="O3">$G$28+MMULT($B3:$D3,TRANSPOSE($H$28:$J$28))+$H$6</f>
        <v>157.82748401975886</v>
      </c>
      <c r="P3" s="195" t="str">
        <f t="shared" ref="P3:P22" si="0">INDEX($L$2:$O$2,,MATCH(MAX(L3:O3),L3:O3,0))</f>
        <v>Site A</v>
      </c>
      <c r="S3" s="23" t="s">
        <v>222</v>
      </c>
      <c r="Y3" s="23" t="s">
        <v>221</v>
      </c>
    </row>
    <row r="4" spans="1:28" x14ac:dyDescent="0.3">
      <c r="A4" s="2" t="s">
        <v>155</v>
      </c>
      <c r="B4" s="8">
        <v>85</v>
      </c>
      <c r="C4" s="8">
        <v>46</v>
      </c>
      <c r="D4" s="8">
        <v>6</v>
      </c>
      <c r="F4" s="2" t="s">
        <v>148</v>
      </c>
      <c r="G4" s="8">
        <f>1/4</f>
        <v>0.25</v>
      </c>
      <c r="H4" s="8">
        <f>LN(G4)</f>
        <v>-1.3862943611198906</v>
      </c>
      <c r="K4" s="2" t="s">
        <v>155</v>
      </c>
      <c r="L4" s="21" cm="1">
        <f t="array" ref="L4">$G$25+MMULT($B4:$D4,TRANSPOSE($H$25:$J$25))+$H$3</f>
        <v>157.63356790636539</v>
      </c>
      <c r="M4" s="21" cm="1">
        <f t="array" ref="M4">$G$26+MMULT($B4:$D4,TRANSPOSE($H$26:$J$26))+$H$4</f>
        <v>156.46072476701676</v>
      </c>
      <c r="N4" s="21" cm="1">
        <f t="array" ref="N4">$G$27+MMULT($B4:$D4,TRANSPOSE($H$27:$J$27))+$H$5</f>
        <v>158.19767287411204</v>
      </c>
      <c r="O4" s="21" cm="1">
        <f t="array" ref="O4">$G$28+MMULT($B4:$D4,TRANSPOSE($H$28:$J$28))+$H$6</f>
        <v>157.82414795515575</v>
      </c>
      <c r="P4" s="174" t="str">
        <f t="shared" si="0"/>
        <v>Site C</v>
      </c>
      <c r="S4" s="191" t="s">
        <v>155</v>
      </c>
      <c r="T4" s="151" t="s">
        <v>148</v>
      </c>
      <c r="U4" s="151" t="s">
        <v>196</v>
      </c>
      <c r="V4" s="150" t="s">
        <v>194</v>
      </c>
      <c r="W4" s="8" t="s">
        <v>36</v>
      </c>
      <c r="Y4" s="8" t="s">
        <v>178</v>
      </c>
      <c r="Z4" s="8" t="s">
        <v>177</v>
      </c>
      <c r="AA4" s="8" t="s">
        <v>176</v>
      </c>
    </row>
    <row r="5" spans="1:28" x14ac:dyDescent="0.3">
      <c r="A5" s="2" t="s">
        <v>155</v>
      </c>
      <c r="B5" s="8">
        <v>87</v>
      </c>
      <c r="C5" s="8">
        <v>37</v>
      </c>
      <c r="D5" s="8">
        <v>10</v>
      </c>
      <c r="F5" s="2" t="s">
        <v>196</v>
      </c>
      <c r="G5" s="8">
        <f>1/4</f>
        <v>0.25</v>
      </c>
      <c r="H5" s="8">
        <f>LN(G5)</f>
        <v>-1.3862943611198906</v>
      </c>
      <c r="K5" s="2" t="s">
        <v>155</v>
      </c>
      <c r="L5" s="21" cm="1">
        <f t="array" ref="L5">$G$25+MMULT($B5:$D5,TRANSPOSE($H$25:$J$25))+$H$3</f>
        <v>190.80171477454388</v>
      </c>
      <c r="M5" s="21" cm="1">
        <f t="array" ref="M5">$G$26+MMULT($B5:$D5,TRANSPOSE($H$26:$J$26))+$H$4</f>
        <v>186.38358497854591</v>
      </c>
      <c r="N5" s="21" cm="1">
        <f t="array" ref="N5">$G$27+MMULT($B5:$D5,TRANSPOSE($H$27:$J$27))+$H$5</f>
        <v>189.66603495024813</v>
      </c>
      <c r="O5" s="21" cm="1">
        <f t="array" ref="O5">$G$28+MMULT($B5:$D5,TRANSPOSE($H$28:$J$28))+$H$6</f>
        <v>189.79647108221161</v>
      </c>
      <c r="P5" s="195" t="str">
        <f t="shared" si="0"/>
        <v>Site A</v>
      </c>
      <c r="R5" s="2" t="s">
        <v>155</v>
      </c>
      <c r="S5" s="197">
        <f t="shared" ref="S5:V8" si="1">COUNTIFS($K$3:$K$22,$R5,$P$3:$P$22,S$4)</f>
        <v>3</v>
      </c>
      <c r="T5" s="147">
        <f t="shared" si="1"/>
        <v>1</v>
      </c>
      <c r="U5" s="147">
        <f t="shared" si="1"/>
        <v>1</v>
      </c>
      <c r="V5" s="146">
        <f t="shared" si="1"/>
        <v>0</v>
      </c>
      <c r="W5" s="196">
        <f>SUM(S5:V5)</f>
        <v>5</v>
      </c>
      <c r="Y5" s="8">
        <v>73</v>
      </c>
      <c r="Z5" s="8">
        <v>50</v>
      </c>
      <c r="AA5" s="8">
        <v>10</v>
      </c>
    </row>
    <row r="6" spans="1:28" x14ac:dyDescent="0.3">
      <c r="A6" s="2" t="s">
        <v>155</v>
      </c>
      <c r="B6" s="8">
        <v>86</v>
      </c>
      <c r="C6" s="8">
        <v>48</v>
      </c>
      <c r="D6" s="8">
        <v>10</v>
      </c>
      <c r="F6" s="2" t="s">
        <v>194</v>
      </c>
      <c r="G6" s="8">
        <f>1/4</f>
        <v>0.25</v>
      </c>
      <c r="H6" s="8">
        <f>LN(G6)</f>
        <v>-1.3862943611198906</v>
      </c>
      <c r="K6" s="2" t="s">
        <v>155</v>
      </c>
      <c r="L6" s="21" cm="1">
        <f t="array" ref="L6">$G$25+MMULT($B6:$D6,TRANSPOSE($H$25:$J$25))+$H$3</f>
        <v>197.85263696740657</v>
      </c>
      <c r="M6" s="21" cm="1">
        <f t="array" ref="M6">$G$26+MMULT($B6:$D6,TRANSPOSE($H$26:$J$26))+$H$4</f>
        <v>193.72026337317823</v>
      </c>
      <c r="N6" s="21" cm="1">
        <f t="array" ref="N6">$G$27+MMULT($B6:$D6,TRANSPOSE($H$27:$J$27))+$H$5</f>
        <v>197.16701372636763</v>
      </c>
      <c r="O6" s="21" cm="1">
        <f t="array" ref="O6">$G$28+MMULT($B6:$D6,TRANSPOSE($H$28:$J$28))+$H$6</f>
        <v>197.32019287503351</v>
      </c>
      <c r="P6" s="195" t="str">
        <f t="shared" si="0"/>
        <v>Site A</v>
      </c>
      <c r="Q6" s="8"/>
      <c r="R6" s="2" t="s">
        <v>148</v>
      </c>
      <c r="S6" s="139">
        <f t="shared" si="1"/>
        <v>0</v>
      </c>
      <c r="T6" s="189">
        <f t="shared" si="1"/>
        <v>4</v>
      </c>
      <c r="U6" s="8">
        <f t="shared" si="1"/>
        <v>0</v>
      </c>
      <c r="V6" s="138">
        <f t="shared" si="1"/>
        <v>1</v>
      </c>
      <c r="W6" s="194">
        <f>SUM(S6:V6)</f>
        <v>5</v>
      </c>
    </row>
    <row r="7" spans="1:28" x14ac:dyDescent="0.3">
      <c r="A7" s="2" t="s">
        <v>155</v>
      </c>
      <c r="B7" s="8">
        <v>72</v>
      </c>
      <c r="C7" s="8">
        <v>47</v>
      </c>
      <c r="D7" s="8">
        <v>10</v>
      </c>
      <c r="G7" t="str">
        <f ca="1">_xlfn.FORMULATEXT(G3)</f>
        <v>=1/4</v>
      </c>
      <c r="H7" t="str">
        <f ca="1">_xlfn.FORMULATEXT(H3)</f>
        <v>=LN(G3)</v>
      </c>
      <c r="K7" s="2" t="s">
        <v>155</v>
      </c>
      <c r="L7" s="21" cm="1">
        <f t="array" ref="L7">$G$25+MMULT($B7:$D7,TRANSPOSE($H$25:$J$25))+$H$3</f>
        <v>157.72349053009958</v>
      </c>
      <c r="M7" s="21" cm="1">
        <f t="array" ref="M7">$G$26+MMULT($B7:$D7,TRANSPOSE($H$26:$J$26))+$H$4</f>
        <v>158.08590667063828</v>
      </c>
      <c r="N7" s="21" cm="1">
        <f t="array" ref="N7">$G$27+MMULT($B7:$D7,TRANSPOSE($H$27:$J$27))+$H$5</f>
        <v>157.80545161414651</v>
      </c>
      <c r="O7" s="21" cm="1">
        <f t="array" ref="O7">$G$28+MMULT($B7:$D7,TRANSPOSE($H$28:$J$28))+$H$6</f>
        <v>158.07393495469034</v>
      </c>
      <c r="P7" s="174" t="str">
        <f t="shared" si="0"/>
        <v>Site B</v>
      </c>
      <c r="Q7" s="8"/>
      <c r="R7" s="2" t="s">
        <v>196</v>
      </c>
      <c r="S7" s="139">
        <f t="shared" si="1"/>
        <v>2</v>
      </c>
      <c r="T7" s="8">
        <f t="shared" si="1"/>
        <v>2</v>
      </c>
      <c r="U7" s="188">
        <f t="shared" si="1"/>
        <v>1</v>
      </c>
      <c r="V7" s="138">
        <f t="shared" si="1"/>
        <v>0</v>
      </c>
      <c r="W7" s="194">
        <f>SUM(S7:V7)</f>
        <v>5</v>
      </c>
      <c r="Y7" s="23" t="s">
        <v>220</v>
      </c>
    </row>
    <row r="8" spans="1:28" x14ac:dyDescent="0.3">
      <c r="A8" s="2" t="s">
        <v>148</v>
      </c>
      <c r="B8" s="8">
        <v>74</v>
      </c>
      <c r="C8" s="8">
        <v>39</v>
      </c>
      <c r="D8" s="8">
        <v>6</v>
      </c>
      <c r="G8" s="185"/>
      <c r="J8" s="8"/>
      <c r="K8" s="2" t="s">
        <v>148</v>
      </c>
      <c r="L8" s="21" cm="1">
        <f t="array" ref="L8">$G$25+MMULT($B8:$D8,TRANSPOSE($H$25:$J$25))+$H$3</f>
        <v>120.53704548859537</v>
      </c>
      <c r="M8" s="21" cm="1">
        <f t="array" ref="M8">$G$26+MMULT($B8:$D8,TRANSPOSE($H$26:$J$26))+$H$4</f>
        <v>122.91563652019016</v>
      </c>
      <c r="N8" s="21" cm="1">
        <f t="array" ref="N8">$G$27+MMULT($B8:$D8,TRANSPOSE($H$27:$J$27))+$H$5</f>
        <v>121.48241413935918</v>
      </c>
      <c r="O8" s="21" cm="1">
        <f t="array" ref="O8">$G$28+MMULT($B8:$D8,TRANSPOSE($H$28:$J$28))+$H$6</f>
        <v>121.19134273077231</v>
      </c>
      <c r="P8" s="189" t="str">
        <f t="shared" si="0"/>
        <v>Site B</v>
      </c>
      <c r="R8" s="2" t="s">
        <v>194</v>
      </c>
      <c r="S8" s="137">
        <f t="shared" si="1"/>
        <v>2</v>
      </c>
      <c r="T8" s="136">
        <f t="shared" si="1"/>
        <v>0</v>
      </c>
      <c r="U8" s="136">
        <f t="shared" si="1"/>
        <v>1</v>
      </c>
      <c r="V8" s="193">
        <f t="shared" si="1"/>
        <v>2</v>
      </c>
      <c r="W8" s="192">
        <f>SUM(S8:V8)</f>
        <v>5</v>
      </c>
      <c r="Y8" s="8" t="s">
        <v>155</v>
      </c>
      <c r="Z8" s="8" t="s">
        <v>148</v>
      </c>
      <c r="AA8" s="8" t="s">
        <v>196</v>
      </c>
      <c r="AB8" s="8" t="s">
        <v>194</v>
      </c>
    </row>
    <row r="9" spans="1:28" x14ac:dyDescent="0.3">
      <c r="A9" s="2" t="s">
        <v>148</v>
      </c>
      <c r="B9" s="8">
        <v>73</v>
      </c>
      <c r="C9" s="8">
        <v>70</v>
      </c>
      <c r="D9" s="8">
        <v>7</v>
      </c>
      <c r="F9" s="172" t="s">
        <v>175</v>
      </c>
      <c r="G9" s="8" t="s">
        <v>178</v>
      </c>
      <c r="H9" s="8" t="s">
        <v>177</v>
      </c>
      <c r="I9" s="8" t="s">
        <v>176</v>
      </c>
      <c r="J9" s="8"/>
      <c r="K9" s="2" t="s">
        <v>148</v>
      </c>
      <c r="L9" s="21" cm="1">
        <f t="array" ref="L9">$G$25+MMULT($B9:$D9,TRANSPOSE($H$25:$J$25))+$H$3</f>
        <v>154.40936521784499</v>
      </c>
      <c r="M9" s="21" cm="1">
        <f t="array" ref="M9">$G$26+MMULT($B9:$D9,TRANSPOSE($H$26:$J$26))+$H$4</f>
        <v>156.35186308959396</v>
      </c>
      <c r="N9" s="21" cm="1">
        <f t="array" ref="N9">$G$27+MMULT($B9:$D9,TRANSPOSE($H$27:$J$27))+$H$5</f>
        <v>156.20281597340923</v>
      </c>
      <c r="O9" s="21" cm="1">
        <f t="array" ref="O9">$G$28+MMULT($B9:$D9,TRANSPOSE($H$28:$J$28))+$H$6</f>
        <v>156.09379704423668</v>
      </c>
      <c r="P9" s="189" t="str">
        <f t="shared" si="0"/>
        <v>Site B</v>
      </c>
      <c r="R9" s="2" t="s">
        <v>36</v>
      </c>
      <c r="S9" s="191">
        <f>SUM(S5:S8)</f>
        <v>7</v>
      </c>
      <c r="T9" s="151">
        <f>SUM(T5:T8)</f>
        <v>7</v>
      </c>
      <c r="U9" s="151">
        <f>SUM(U5:U8)</f>
        <v>3</v>
      </c>
      <c r="V9" s="150">
        <f>SUM(V5:V8)</f>
        <v>3</v>
      </c>
      <c r="W9" s="190">
        <f>SUM(W5:W8)</f>
        <v>20</v>
      </c>
      <c r="Y9" s="26">
        <f>G25+SUMPRODUCT($Y$5:$AA$5,$H25:$J25)+H3</f>
        <v>163.21314123996837</v>
      </c>
      <c r="Z9" s="26">
        <f>G26+SUMPRODUCT($Y$5:$AA$5,$H26:$J26)+H4</f>
        <v>163.24516349654465</v>
      </c>
      <c r="AA9" s="26">
        <f>G27+SUMPRODUCT($Y$5:$AA$5,$H27:$J27)+H5</f>
        <v>163.34481935215936</v>
      </c>
      <c r="AB9" s="26">
        <f>G28+SUMPRODUCT($Y$5:$AA$5,$H$28:$J$28)+H6</f>
        <v>163.60890401527422</v>
      </c>
    </row>
    <row r="10" spans="1:28" x14ac:dyDescent="0.3">
      <c r="A10" s="2" t="s">
        <v>148</v>
      </c>
      <c r="B10" s="8">
        <v>66</v>
      </c>
      <c r="C10" s="8">
        <v>31</v>
      </c>
      <c r="D10" s="8">
        <v>10</v>
      </c>
      <c r="F10" s="2" t="s">
        <v>155</v>
      </c>
      <c r="G10" s="8">
        <f t="shared" ref="G10:I13" si="2">AVERAGEIF($A$3:$A$22,$F10,B$3:B$22)</f>
        <v>81.2</v>
      </c>
      <c r="H10" s="8">
        <f t="shared" si="2"/>
        <v>42.6</v>
      </c>
      <c r="I10" s="8">
        <f t="shared" si="2"/>
        <v>9.1999999999999993</v>
      </c>
      <c r="J10" s="8"/>
      <c r="K10" s="2" t="s">
        <v>148</v>
      </c>
      <c r="L10" s="21" cm="1">
        <f t="array" ref="L10">$G$25+MMULT($B10:$D10,TRANSPOSE($H$25:$J$25))+$H$3</f>
        <v>126.57709668556254</v>
      </c>
      <c r="M10" s="21" cm="1">
        <f t="array" ref="M10">$G$26+MMULT($B10:$D10,TRANSPOSE($H$26:$J$26))+$H$4</f>
        <v>128.91549931813432</v>
      </c>
      <c r="N10" s="21" cm="1">
        <f t="array" ref="N10">$G$27+MMULT($B10:$D10,TRANSPOSE($H$27:$J$27))+$H$5</f>
        <v>126.43215183094551</v>
      </c>
      <c r="O10" s="21" cm="1">
        <f t="array" ref="O10">$G$28+MMULT($B10:$D10,TRANSPOSE($H$28:$J$28))+$H$6</f>
        <v>126.72964785595934</v>
      </c>
      <c r="P10" s="189" t="str">
        <f t="shared" si="0"/>
        <v>Site B</v>
      </c>
      <c r="S10" s="185" t="str">
        <f ca="1">_xlfn.FORMULATEXT(S5)</f>
        <v>=COUNTIFS($K$3:$K$22,$R5,$P$3:$P$22,S$4)</v>
      </c>
      <c r="Y10" t="str">
        <f ca="1">_xlfn.FORMULATEXT(Y9)</f>
        <v>=G25+SUMPRODUCT($Y$5:$AA$5,$H25:$J25)+H3</v>
      </c>
    </row>
    <row r="11" spans="1:28" x14ac:dyDescent="0.3">
      <c r="A11" s="2" t="s">
        <v>148</v>
      </c>
      <c r="B11" s="8">
        <v>60</v>
      </c>
      <c r="C11" s="8">
        <v>59</v>
      </c>
      <c r="D11" s="8">
        <v>9</v>
      </c>
      <c r="F11" s="2" t="s">
        <v>148</v>
      </c>
      <c r="G11" s="8">
        <f t="shared" si="2"/>
        <v>70</v>
      </c>
      <c r="H11" s="8">
        <f t="shared" si="2"/>
        <v>49.6</v>
      </c>
      <c r="I11" s="8">
        <f t="shared" si="2"/>
        <v>8.4</v>
      </c>
      <c r="J11" s="8"/>
      <c r="K11" s="2" t="s">
        <v>148</v>
      </c>
      <c r="L11" s="21" cm="1">
        <f t="array" ref="L11">$G$25+MMULT($B11:$D11,TRANSPOSE($H$25:$J$25))+$H$3</f>
        <v>125.93763857426842</v>
      </c>
      <c r="M11" s="21" cm="1">
        <f t="array" ref="M11">$G$26+MMULT($B11:$D11,TRANSPOSE($H$26:$J$26))+$H$4</f>
        <v>130.76981908474988</v>
      </c>
      <c r="N11" s="21" cm="1">
        <f t="array" ref="N11">$G$27+MMULT($B11:$D11,TRANSPOSE($H$27:$J$27))+$H$5</f>
        <v>127.45244162584711</v>
      </c>
      <c r="O11" s="21" cm="1">
        <f t="array" ref="O11">$G$28+MMULT($B11:$D11,TRANSPOSE($H$28:$J$28))+$H$6</f>
        <v>127.70350070929783</v>
      </c>
      <c r="P11" s="189" t="str">
        <f t="shared" si="0"/>
        <v>Site B</v>
      </c>
      <c r="Z11" t="str">
        <f ca="1">_xlfn.FORMULATEXT(Z9)</f>
        <v>=G26+SUMPRODUCT($Y$5:$AA$5,$H26:$J26)+H4</v>
      </c>
    </row>
    <row r="12" spans="1:28" x14ac:dyDescent="0.3">
      <c r="A12" s="2" t="s">
        <v>148</v>
      </c>
      <c r="B12" s="8">
        <v>77</v>
      </c>
      <c r="C12" s="8">
        <v>49</v>
      </c>
      <c r="D12" s="8">
        <v>10</v>
      </c>
      <c r="F12" s="2" t="s">
        <v>196</v>
      </c>
      <c r="G12" s="8">
        <f t="shared" si="2"/>
        <v>79.599999999999994</v>
      </c>
      <c r="H12" s="8">
        <f t="shared" si="2"/>
        <v>50.8</v>
      </c>
      <c r="I12" s="8">
        <f t="shared" si="2"/>
        <v>8.1999999999999993</v>
      </c>
      <c r="J12" s="8"/>
      <c r="K12" s="2" t="s">
        <v>148</v>
      </c>
      <c r="L12" s="21" cm="1">
        <f t="array" ref="L12">$G$25+MMULT($B12:$D12,TRANSPOSE($H$25:$J$25))+$H$3</f>
        <v>173.52692638405017</v>
      </c>
      <c r="M12" s="21" cm="1">
        <f t="array" ref="M12">$G$26+MMULT($B12:$D12,TRANSPOSE($H$26:$J$26))+$H$4</f>
        <v>172.27882238109839</v>
      </c>
      <c r="N12" s="21" cm="1">
        <f t="array" ref="N12">$G$27+MMULT($B12:$D12,TRANSPOSE($H$27:$J$27))+$H$5</f>
        <v>173.39339711251651</v>
      </c>
      <c r="O12" s="21" cm="1">
        <f t="array" ref="O12">$G$28+MMULT($B12:$D12,TRANSPOSE($H$28:$J$28))+$H$6</f>
        <v>173.62285303659007</v>
      </c>
      <c r="P12" s="174" t="str">
        <f t="shared" si="0"/>
        <v>Site D</v>
      </c>
      <c r="S12" s="23" t="s">
        <v>219</v>
      </c>
      <c r="AA12" t="str">
        <f ca="1">_xlfn.FORMULATEXT(AA9)</f>
        <v>=G27+SUMPRODUCT($Y$5:$AA$5,$H27:$J27)+H5</v>
      </c>
    </row>
    <row r="13" spans="1:28" x14ac:dyDescent="0.3">
      <c r="A13" s="2" t="s">
        <v>196</v>
      </c>
      <c r="B13" s="8">
        <v>73</v>
      </c>
      <c r="C13" s="8">
        <v>46</v>
      </c>
      <c r="D13" s="8">
        <v>9</v>
      </c>
      <c r="F13" s="2" t="s">
        <v>194</v>
      </c>
      <c r="G13" s="8">
        <f t="shared" si="2"/>
        <v>78.8</v>
      </c>
      <c r="H13" s="8">
        <f t="shared" si="2"/>
        <v>50</v>
      </c>
      <c r="I13" s="8">
        <f t="shared" si="2"/>
        <v>8.6</v>
      </c>
      <c r="K13" s="2" t="s">
        <v>196</v>
      </c>
      <c r="L13" s="21" cm="1">
        <f t="array" ref="L13">$G$25+MMULT($B13:$D13,TRANSPOSE($H$25:$J$25))+$H$3</f>
        <v>150.72382702098895</v>
      </c>
      <c r="M13" s="21" cm="1">
        <f t="array" ref="M13">$G$26+MMULT($B13:$D13,TRANSPOSE($H$26:$J$26))+$H$4</f>
        <v>151.42668414524593</v>
      </c>
      <c r="N13" s="21" cm="1">
        <f t="array" ref="N13">$G$27+MMULT($B13:$D13,TRANSPOSE($H$27:$J$27))+$H$5</f>
        <v>151.02864945323714</v>
      </c>
      <c r="O13" s="21" cm="1">
        <f t="array" ref="O13">$G$28+MMULT($B13:$D13,TRANSPOSE($H$28:$J$28))+$H$6</f>
        <v>151.15438961280972</v>
      </c>
      <c r="P13" s="174" t="str">
        <f t="shared" si="0"/>
        <v>Site B</v>
      </c>
      <c r="S13" t="s">
        <v>218</v>
      </c>
      <c r="T13" t="s">
        <v>217</v>
      </c>
      <c r="U13" t="s">
        <v>216</v>
      </c>
      <c r="V13" t="s">
        <v>215</v>
      </c>
    </row>
    <row r="14" spans="1:28" x14ac:dyDescent="0.3">
      <c r="A14" s="2" t="s">
        <v>196</v>
      </c>
      <c r="B14" s="8">
        <v>84</v>
      </c>
      <c r="C14" s="8">
        <v>66</v>
      </c>
      <c r="D14" s="8">
        <v>7</v>
      </c>
      <c r="G14" s="185" t="str">
        <f ca="1">_xlfn.FORMULATEXT(G10)</f>
        <v>=AVERAGEIF($A$3:$A$22,$F10,B$3:B$22)</v>
      </c>
      <c r="K14" s="2" t="s">
        <v>196</v>
      </c>
      <c r="L14" s="21" cm="1">
        <f t="array" ref="L14">$G$25+MMULT($B14:$D14,TRANSPOSE($H$25:$J$25))+$H$3</f>
        <v>181.6525803548974</v>
      </c>
      <c r="M14" s="21" cm="1">
        <f t="array" ref="M14">$G$26+MMULT($B14:$D14,TRANSPOSE($H$26:$J$26))+$H$4</f>
        <v>180.07871652028302</v>
      </c>
      <c r="N14" s="21" cm="1">
        <f t="array" ref="N14">$G$27+MMULT($B14:$D14,TRANSPOSE($H$27:$J$27))+$H$5</f>
        <v>182.67208816134385</v>
      </c>
      <c r="O14" s="21" cm="1">
        <f t="array" ref="O14">$G$28+MMULT($B14:$D14,TRANSPOSE($H$28:$J$28))+$H$6</f>
        <v>182.46620231237273</v>
      </c>
      <c r="P14" s="188" t="str">
        <f t="shared" si="0"/>
        <v>Site C</v>
      </c>
      <c r="R14" s="2" t="s">
        <v>155</v>
      </c>
      <c r="S14" s="187" cm="1">
        <f t="array" ref="S14:S17">TRANSPOSE([2]!DIAG(S5:V8))</f>
        <v>3</v>
      </c>
      <c r="T14" s="186">
        <f>W5</f>
        <v>5</v>
      </c>
      <c r="U14" s="176">
        <f>S14/T14</f>
        <v>0.6</v>
      </c>
      <c r="V14" s="178">
        <f>1-U14</f>
        <v>0.4</v>
      </c>
      <c r="Y14" s="23" t="s">
        <v>214</v>
      </c>
    </row>
    <row r="15" spans="1:28" x14ac:dyDescent="0.3">
      <c r="A15" s="2" t="s">
        <v>196</v>
      </c>
      <c r="B15" s="8">
        <v>73</v>
      </c>
      <c r="C15" s="8">
        <v>61</v>
      </c>
      <c r="D15" s="8">
        <v>8</v>
      </c>
      <c r="G15" s="185"/>
      <c r="K15" s="2" t="s">
        <v>196</v>
      </c>
      <c r="L15" s="21" cm="1">
        <f t="array" ref="L15">$G$25+MMULT($B15:$D15,TRANSPOSE($H$25:$J$25))+$H$3</f>
        <v>155.2538617414308</v>
      </c>
      <c r="M15" s="21" cm="1">
        <f t="array" ref="M15">$G$26+MMULT($B15:$D15,TRANSPOSE($H$26:$J$26))+$H$4</f>
        <v>156.56697402182107</v>
      </c>
      <c r="N15" s="21" cm="1">
        <f t="array" ref="N15">$G$27+MMULT($B15:$D15,TRANSPOSE($H$27:$J$27))+$H$5</f>
        <v>156.41009268063723</v>
      </c>
      <c r="O15" s="21" cm="1">
        <f t="array" ref="O15">$G$28+MMULT($B15:$D15,TRANSPOSE($H$28:$J$28))+$H$6</f>
        <v>156.42238422568164</v>
      </c>
      <c r="P15" s="174" t="str">
        <f t="shared" si="0"/>
        <v>Site B</v>
      </c>
      <c r="R15" s="2" t="s">
        <v>148</v>
      </c>
      <c r="S15" s="184">
        <v>4</v>
      </c>
      <c r="T15" s="182">
        <f>W6</f>
        <v>5</v>
      </c>
      <c r="U15" s="176">
        <f>S15/T15</f>
        <v>0.8</v>
      </c>
      <c r="V15" s="178">
        <f>1-U15</f>
        <v>0.19999999999999996</v>
      </c>
      <c r="Y15" s="8" t="s">
        <v>155</v>
      </c>
      <c r="Z15" s="8" t="s">
        <v>148</v>
      </c>
      <c r="AA15" s="8" t="s">
        <v>196</v>
      </c>
      <c r="AB15" s="8" t="s">
        <v>194</v>
      </c>
    </row>
    <row r="16" spans="1:28" x14ac:dyDescent="0.3">
      <c r="A16" s="2" t="s">
        <v>196</v>
      </c>
      <c r="B16" s="8">
        <v>80</v>
      </c>
      <c r="C16" s="8">
        <v>36</v>
      </c>
      <c r="D16" s="8">
        <v>9</v>
      </c>
      <c r="F16" s="23" t="s">
        <v>213</v>
      </c>
      <c r="K16" s="2" t="s">
        <v>196</v>
      </c>
      <c r="L16" s="21" cm="1">
        <f t="array" ref="L16">$G$25+MMULT($B16:$D16,TRANSPOSE($H$25:$J$25))+$H$3</f>
        <v>161.38297056259381</v>
      </c>
      <c r="M16" s="21" cm="1">
        <f t="array" ref="M16">$G$26+MMULT($B16:$D16,TRANSPOSE($H$26:$J$26))+$H$4</f>
        <v>159.87191108111188</v>
      </c>
      <c r="N16" s="21" cm="1">
        <f t="array" ref="N16">$G$27+MMULT($B16:$D16,TRANSPOSE($H$27:$J$27))+$H$5</f>
        <v>160.92917062374843</v>
      </c>
      <c r="O16" s="21" cm="1">
        <f t="array" ref="O16">$G$28+MMULT($B16:$D16,TRANSPOSE($H$28:$J$28))+$H$6</f>
        <v>160.98350043292697</v>
      </c>
      <c r="P16" s="174" t="str">
        <f t="shared" si="0"/>
        <v>Site A</v>
      </c>
      <c r="R16" s="2" t="s">
        <v>196</v>
      </c>
      <c r="S16" s="183">
        <v>1</v>
      </c>
      <c r="T16" s="182">
        <f>W7</f>
        <v>5</v>
      </c>
      <c r="U16" s="176">
        <f>S16/T16</f>
        <v>0.2</v>
      </c>
      <c r="V16" s="178">
        <f>1-U16</f>
        <v>0.8</v>
      </c>
      <c r="Y16" s="24" cm="1">
        <f t="array" ref="Y16">EXP(Y9)/SUM(EXP($Y$9:$AB$9))</f>
        <v>0.21464762106750274</v>
      </c>
      <c r="Z16" s="24" cm="1">
        <f t="array" ref="Z16">EXP(Z9)/SUM(EXP($Y$9:$AB$9))</f>
        <v>0.22163235894690711</v>
      </c>
      <c r="AA16" s="24" cm="1">
        <f t="array" ref="AA16">EXP(AA9)/SUM(EXP($Y$9:$AB$9))</f>
        <v>0.24485735682652904</v>
      </c>
      <c r="AB16" s="24" cm="1">
        <f t="array" ref="AB16">EXP(AB9)/SUM(EXP($Y$9:$AB$9))</f>
        <v>0.31886266315906103</v>
      </c>
    </row>
    <row r="17" spans="1:25" x14ac:dyDescent="0.3">
      <c r="A17" s="2" t="s">
        <v>196</v>
      </c>
      <c r="B17" s="8">
        <v>88</v>
      </c>
      <c r="C17" s="8">
        <v>45</v>
      </c>
      <c r="D17" s="8">
        <v>8</v>
      </c>
      <c r="F17" s="23"/>
      <c r="G17" s="8" t="s">
        <v>178</v>
      </c>
      <c r="H17" s="8" t="s">
        <v>177</v>
      </c>
      <c r="I17" s="8" t="s">
        <v>176</v>
      </c>
      <c r="K17" s="2" t="s">
        <v>196</v>
      </c>
      <c r="L17" s="21" cm="1">
        <f t="array" ref="L17">$G$25+MMULT($B17:$D17,TRANSPOSE($H$25:$J$25))+$H$3</f>
        <v>182.95755474184739</v>
      </c>
      <c r="M17" s="21" cm="1">
        <f t="array" ref="M17">$G$26+MMULT($B17:$D17,TRANSPOSE($H$26:$J$26))+$H$4</f>
        <v>179.5092515209264</v>
      </c>
      <c r="N17" s="21" cm="1">
        <f t="array" ref="N17">$G$27+MMULT($B17:$D17,TRANSPOSE($H$27:$J$27))+$H$5</f>
        <v>182.68195608211076</v>
      </c>
      <c r="O17" s="21" cm="1">
        <f t="array" ref="O17">$G$28+MMULT($B17:$D17,TRANSPOSE($H$28:$J$28))+$H$6</f>
        <v>182.54833855888614</v>
      </c>
      <c r="P17" s="174" t="str">
        <f t="shared" si="0"/>
        <v>Site A</v>
      </c>
      <c r="R17" s="2" t="s">
        <v>194</v>
      </c>
      <c r="S17" s="181">
        <v>2</v>
      </c>
      <c r="T17" s="180">
        <f>W8</f>
        <v>5</v>
      </c>
      <c r="U17" s="176">
        <f>S17/T17</f>
        <v>0.4</v>
      </c>
      <c r="V17" s="178">
        <f>1-U17</f>
        <v>0.6</v>
      </c>
      <c r="Y17" t="str">
        <f ca="1">_xlfn.FORMULATEXT(Y16)</f>
        <v>=EXP(Y9)/SUM(EXP($Y$9:$AB$9))</v>
      </c>
    </row>
    <row r="18" spans="1:25" x14ac:dyDescent="0.3">
      <c r="A18" s="2" t="s">
        <v>194</v>
      </c>
      <c r="B18" s="8">
        <v>72</v>
      </c>
      <c r="C18" s="8">
        <v>60</v>
      </c>
      <c r="D18" s="8">
        <v>10</v>
      </c>
      <c r="F18" s="8" t="s">
        <v>178</v>
      </c>
      <c r="G18" cm="1">
        <f t="array" ref="G18:I20">[2]!COVPooled(A3:D22)</f>
        <v>41.8</v>
      </c>
      <c r="H18">
        <v>-7.0625</v>
      </c>
      <c r="I18">
        <v>-3.3249999999999997</v>
      </c>
      <c r="K18" s="2" t="s">
        <v>194</v>
      </c>
      <c r="L18" s="21" cm="1">
        <f t="array" ref="L18">$G$25+MMULT($B18:$D18,TRANSPOSE($H$25:$J$25))+$H$3</f>
        <v>169.36830822549308</v>
      </c>
      <c r="M18" s="21" cm="1">
        <f t="array" ref="M18">$G$26+MMULT($B18:$D18,TRANSPOSE($H$26:$J$26))+$H$4</f>
        <v>169.68927508970989</v>
      </c>
      <c r="N18" s="21" cm="1">
        <f t="array" ref="N18">$G$27+MMULT($B18:$D18,TRANSPOSE($H$27:$J$27))+$H$5</f>
        <v>169.91434480584078</v>
      </c>
      <c r="O18" s="21" cm="1">
        <f t="array" ref="O18">$G$28+MMULT($B18:$D18,TRANSPOSE($H$28:$J$28))+$H$6</f>
        <v>170.19986217571</v>
      </c>
      <c r="P18" s="177" t="str">
        <f t="shared" si="0"/>
        <v>Site D</v>
      </c>
      <c r="R18" s="2" t="s">
        <v>36</v>
      </c>
      <c r="S18" s="179">
        <f>SUM(S14:S17)</f>
        <v>10</v>
      </c>
      <c r="T18" s="179">
        <f>SUM(T14:T17)</f>
        <v>20</v>
      </c>
      <c r="U18" s="176">
        <f>S18/T18</f>
        <v>0.5</v>
      </c>
      <c r="V18" s="178">
        <f>1-U18</f>
        <v>0.5</v>
      </c>
    </row>
    <row r="19" spans="1:25" x14ac:dyDescent="0.3">
      <c r="A19" s="2" t="s">
        <v>194</v>
      </c>
      <c r="B19" s="8">
        <v>77</v>
      </c>
      <c r="C19" s="8">
        <v>55</v>
      </c>
      <c r="D19" s="8">
        <v>9</v>
      </c>
      <c r="F19" s="8" t="s">
        <v>177</v>
      </c>
      <c r="G19">
        <v>-7.0625</v>
      </c>
      <c r="H19">
        <v>148.32500000000002</v>
      </c>
      <c r="I19">
        <v>-7.9124999999999996</v>
      </c>
      <c r="K19" s="2" t="s">
        <v>194</v>
      </c>
      <c r="L19" s="21" cm="1">
        <f t="array" ref="L19">$G$25+MMULT($B19:$D19,TRANSPOSE($H$25:$J$25))+$H$3</f>
        <v>169.99516423845034</v>
      </c>
      <c r="M19" s="21" cm="1">
        <f t="array" ref="M19">$G$26+MMULT($B19:$D19,TRANSPOSE($H$26:$J$26))+$H$4</f>
        <v>169.38601104447014</v>
      </c>
      <c r="N19" s="21" cm="1">
        <f t="array" ref="N19">$G$27+MMULT($B19:$D19,TRANSPOSE($H$27:$J$27))+$H$5</f>
        <v>170.39176043797445</v>
      </c>
      <c r="O19" s="21" cm="1">
        <f t="array" ref="O19">$G$28+MMULT($B19:$D19,TRANSPOSE($H$28:$J$28))+$H$6</f>
        <v>170.49597495798685</v>
      </c>
      <c r="P19" s="177" t="str">
        <f t="shared" si="0"/>
        <v>Site D</v>
      </c>
      <c r="S19" t="str">
        <f ca="1">_xlfn.FORMULATEXT(S14)</f>
        <v>=TRANSPOSE(DIAG(S5:V8))</v>
      </c>
      <c r="Y19" s="173" t="s">
        <v>212</v>
      </c>
    </row>
    <row r="20" spans="1:25" x14ac:dyDescent="0.3">
      <c r="A20" s="2" t="s">
        <v>194</v>
      </c>
      <c r="B20" s="8">
        <v>78</v>
      </c>
      <c r="C20" s="8">
        <v>30</v>
      </c>
      <c r="D20" s="8">
        <v>10</v>
      </c>
      <c r="F20" s="8" t="s">
        <v>176</v>
      </c>
      <c r="G20">
        <v>-3.3249999999999997</v>
      </c>
      <c r="H20">
        <v>-7.9124999999999996</v>
      </c>
      <c r="I20">
        <v>2.875</v>
      </c>
      <c r="K20" s="2" t="s">
        <v>194</v>
      </c>
      <c r="L20" s="21" cm="1">
        <f t="array" ref="L20">$G$25+MMULT($B20:$D20,TRANSPOSE($H$25:$J$25))+$H$3</f>
        <v>159.30996253248372</v>
      </c>
      <c r="M20" s="21" cm="1">
        <f t="array" ref="M20">$G$26+MMULT($B20:$D20,TRANSPOSE($H$26:$J$26))+$H$4</f>
        <v>157.80160957472975</v>
      </c>
      <c r="N20" s="21" cm="1">
        <f t="array" ref="N20">$G$27+MMULT($B20:$D20,TRANSPOSE($H$27:$J$27))+$H$5</f>
        <v>158.44079175689288</v>
      </c>
      <c r="O20" s="21" cm="1">
        <f t="array" ref="O20">$G$28+MMULT($B20:$D20,TRANSPOSE($H$28:$J$28))+$H$6</f>
        <v>158.63702218467921</v>
      </c>
      <c r="P20" s="174" t="str">
        <f t="shared" si="0"/>
        <v>Site A</v>
      </c>
      <c r="T20" t="str">
        <f ca="1">_xlfn.FORMULATEXT(T14)</f>
        <v>=W5</v>
      </c>
      <c r="U20" s="176" t="str">
        <f ca="1">_xlfn.FORMULATEXT(U14)</f>
        <v>=S14/T14</v>
      </c>
      <c r="Y20" s="175" t="str" cm="1">
        <f t="array" ref="Y20">INDEX(Y15:AB15,,MATCH(MAX(Y16:AB16),Y16:AB16,0))</f>
        <v>Site D</v>
      </c>
    </row>
    <row r="21" spans="1:25" x14ac:dyDescent="0.3">
      <c r="A21" s="2" t="s">
        <v>194</v>
      </c>
      <c r="B21" s="8">
        <v>80</v>
      </c>
      <c r="C21" s="8">
        <v>60</v>
      </c>
      <c r="D21" s="8">
        <v>5</v>
      </c>
      <c r="G21" t="str">
        <f ca="1">_xlfn.FORMULATEXT(G18)</f>
        <v>=COVPooled(A3:D22)</v>
      </c>
      <c r="K21" s="2" t="s">
        <v>194</v>
      </c>
      <c r="L21" s="21" cm="1">
        <f t="array" ref="L21">$G$25+MMULT($B21:$D21,TRANSPOSE($H$25:$J$25))+$H$3</f>
        <v>147.25592198019467</v>
      </c>
      <c r="M21" s="21" cm="1">
        <f t="array" ref="M21">$G$26+MMULT($B21:$D21,TRANSPOSE($H$26:$J$26))+$H$4</f>
        <v>148.30066573459885</v>
      </c>
      <c r="N21" s="21" cm="1">
        <f t="array" ref="N21">$G$27+MMULT($B21:$D21,TRANSPOSE($H$27:$J$27))+$H$5</f>
        <v>148.92262392558015</v>
      </c>
      <c r="O21" s="21" cm="1">
        <f t="array" ref="O21">$G$28+MMULT($B21:$D21,TRANSPOSE($H$28:$J$28))+$H$6</f>
        <v>148.47598811851401</v>
      </c>
      <c r="P21" s="174" t="str">
        <f t="shared" si="0"/>
        <v>Site C</v>
      </c>
      <c r="V21" t="str">
        <f ca="1">_xlfn.FORMULATEXT(V14)</f>
        <v>=1-U14</v>
      </c>
      <c r="Y21" t="str">
        <f ca="1">_xlfn.FORMULATEXT(Y20)</f>
        <v>=INDEX(Y15:AB15,,MATCH(MAX(Y16:AB16),Y16:AB16,0))</v>
      </c>
    </row>
    <row r="22" spans="1:25" x14ac:dyDescent="0.3">
      <c r="A22" s="2" t="s">
        <v>194</v>
      </c>
      <c r="B22" s="8">
        <v>87</v>
      </c>
      <c r="C22" s="8">
        <v>45</v>
      </c>
      <c r="D22" s="8">
        <v>9</v>
      </c>
      <c r="K22" s="2" t="s">
        <v>194</v>
      </c>
      <c r="L22" s="21" cm="1">
        <f t="array" ref="L22">$G$25+MMULT($B22:$D22,TRANSPOSE($H$25:$J$25))+$H$3</f>
        <v>189.06146304361999</v>
      </c>
      <c r="M22" s="21" cm="1">
        <f t="array" ref="M22">$G$26+MMULT($B22:$D22,TRANSPOSE($H$26:$J$26))+$H$4</f>
        <v>185.27590724485174</v>
      </c>
      <c r="N22" s="21" cm="1">
        <f t="array" ref="N22">$G$27+MMULT($B22:$D22,TRANSPOSE($H$27:$J$27))+$H$5</f>
        <v>188.52730492058217</v>
      </c>
      <c r="O22" s="21" cm="1">
        <f t="array" ref="O22">$G$28+MMULT($B22:$D22,TRANSPOSE($H$28:$J$28))+$H$6</f>
        <v>188.53512026838064</v>
      </c>
      <c r="P22" s="174" t="str">
        <f t="shared" si="0"/>
        <v>Site A</v>
      </c>
    </row>
    <row r="23" spans="1:25" x14ac:dyDescent="0.3">
      <c r="F23" s="173" t="s">
        <v>211</v>
      </c>
      <c r="L23" s="20" t="str">
        <f ca="1">_xlfn.FORMULATEXT(L3)</f>
        <v>=$G$25+MMULT($B3:$D3,TRANSPOSE($H$25:$J$25))+$H$3</v>
      </c>
    </row>
    <row r="24" spans="1:25" x14ac:dyDescent="0.3">
      <c r="A24" s="172" t="s">
        <v>149</v>
      </c>
      <c r="F24" s="112"/>
      <c r="G24" s="112" t="s">
        <v>210</v>
      </c>
      <c r="H24" s="8" t="s">
        <v>178</v>
      </c>
      <c r="I24" s="8" t="s">
        <v>177</v>
      </c>
      <c r="J24" s="8" t="s">
        <v>176</v>
      </c>
      <c r="P24" t="str">
        <f ca="1">_xlfn.FORMULATEXT(P3)</f>
        <v>=@INDEX($L$2:$O$2,,MATCH(MAX(L3:O3),L3:O3,0))</v>
      </c>
      <c r="Y24" s="20"/>
    </row>
    <row r="25" spans="1:25" x14ac:dyDescent="0.3">
      <c r="A25" cm="1">
        <f t="array" ref="A25">[2]!BOXTEST(A3:D22)</f>
        <v>0.40665308552243851</v>
      </c>
      <c r="F25" s="2" t="s">
        <v>155</v>
      </c>
      <c r="G25" s="26" cm="1">
        <f t="array" ref="G25">-0.5*MMULT(G10:I10,MMULT(MINVERSE($G$18:$I$20),TRANSPOSE(G10:I10)))</f>
        <v>-173.8253700754957</v>
      </c>
      <c r="H25" s="25" cm="1">
        <f t="array" ref="H25:J25">MMULT(G10:I10,MINVERSE($G$18:$I$20))</f>
        <v>2.8023850878549306</v>
      </c>
      <c r="I25" s="25">
        <v>0.8957552073379651</v>
      </c>
      <c r="J25" s="25">
        <v>8.9062933896275798</v>
      </c>
      <c r="Y25" s="26"/>
    </row>
    <row r="26" spans="1:25" x14ac:dyDescent="0.3">
      <c r="A26" t="str">
        <f ca="1">_xlfn.FORMULATEXT(A25)</f>
        <v>=BOXTEST(A3:D22)</v>
      </c>
      <c r="F26" s="2" t="s">
        <v>148</v>
      </c>
      <c r="G26" s="26" cm="1">
        <f t="array" ref="G26">-0.5*MMULT(G11:I11,MMULT(MINVERSE($G$18:$I$20),TRANSPOSE(G11:I11)))</f>
        <v>-143.63262243987322</v>
      </c>
      <c r="H26" s="25" cm="1">
        <f t="array" ref="H26:J26">MMULT(G11:I11,MINVERSE($G$18:$I$20))</f>
        <v>2.4815564215052053</v>
      </c>
      <c r="I26" s="25">
        <v>0.8925668014670467</v>
      </c>
      <c r="J26" s="25">
        <v>8.2482121454305446</v>
      </c>
    </row>
    <row r="27" spans="1:25" x14ac:dyDescent="0.3">
      <c r="F27" s="2" t="s">
        <v>196</v>
      </c>
      <c r="G27" s="26" cm="1">
        <f t="array" ref="G27">-0.5*MMULT(G12:I12,MMULT(MINVERSE($G$18:$I$20),TRANSPOSE(G12:I12)))</f>
        <v>-168.13068576133534</v>
      </c>
      <c r="H27" s="25" cm="1">
        <f t="array" ref="H27:J27">MMULT(G12:I12,MINVERSE($G$18:$I$20))</f>
        <v>2.7450077706987899</v>
      </c>
      <c r="I27" s="25">
        <v>0.93145332243802037</v>
      </c>
      <c r="J27" s="25">
        <v>8.5903566091701951</v>
      </c>
      <c r="L27" s="26"/>
    </row>
    <row r="28" spans="1:25" x14ac:dyDescent="0.3">
      <c r="F28" s="2" t="s">
        <v>194</v>
      </c>
      <c r="G28" s="26" cm="1">
        <f t="array" ref="G28">-0.5*MMULT(G13:I13,MMULT(MINVERSE($G$18:$I$20),TRANSPOSE(G13:I13)))</f>
        <v>-168.65508790217405</v>
      </c>
      <c r="H28" s="25" cm="1">
        <f t="array" ref="H28:J28">MMULT(G13:I13,MINVERSE($G$18:$I$20))</f>
        <v>2.7366781634255037</v>
      </c>
      <c r="I28" s="25">
        <v>0.93276363238612625</v>
      </c>
      <c r="J28" s="25">
        <v>8.7234598729200084</v>
      </c>
      <c r="K28" s="8"/>
    </row>
    <row r="29" spans="1:25" x14ac:dyDescent="0.3">
      <c r="G29" t="str">
        <f ca="1">_xlfn.FORMULATEXT(G25)</f>
        <v>=-0.5*MMULT(G10:I10,MMULT(MINVERSE($G$18:$I$20),TRANSPOSE(G10:I10)))</v>
      </c>
      <c r="J29" s="26"/>
    </row>
    <row r="30" spans="1:25" x14ac:dyDescent="0.3">
      <c r="H30" t="str">
        <f ca="1">_xlfn.FORMULATEXT(H25)</f>
        <v>=MMULT(G10:I10,MINVERSE($G$18:$I$20))</v>
      </c>
      <c r="J30" s="26"/>
    </row>
    <row r="33" spans="1:1" x14ac:dyDescent="0.3">
      <c r="A33" s="171" t="s">
        <v>209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Fig.4.1.1-4.1.2</vt:lpstr>
      <vt:lpstr>Fig.4.1.3-4.1.6</vt:lpstr>
      <vt:lpstr>Fig.4.1.7-4.1.9</vt:lpstr>
      <vt:lpstr>Fig.4.2.2-4.2.10</vt:lpstr>
      <vt:lpstr>Fig.4.2.11-4.2.13</vt:lpstr>
      <vt:lpstr>Fig.4.3.1-4.3.2</vt:lpstr>
      <vt:lpstr>Fig.4.4.4-4.4.8</vt:lpstr>
      <vt:lpstr>Fig.4.4.9</vt:lpstr>
      <vt:lpstr>Fig.4.4.10-4.4.14</vt:lpstr>
      <vt:lpstr>Fig.4.4.15-4.4.16</vt:lpstr>
      <vt:lpstr>Fig.4.4.17</vt:lpstr>
      <vt:lpstr>Fig.4.4.18</vt:lpstr>
      <vt:lpstr>Fig.4.4.19-4.4.21</vt:lpstr>
      <vt:lpstr>Fig.4.5.1-4.5.3</vt:lpstr>
      <vt:lpstr>Fig.4.5.4-4.5.5</vt:lpstr>
      <vt:lpstr>Fig.4.5.6</vt:lpstr>
      <vt:lpstr>Fig.4.6.1-4.6.3</vt:lpstr>
      <vt:lpstr>Fig.4.6.4-4.6.8</vt:lpstr>
      <vt:lpstr>MDS alt</vt:lpstr>
      <vt:lpstr>Fig.4.7.2-4.7.3</vt:lpstr>
      <vt:lpstr>Fig.4.7.4-4.7.9</vt:lpstr>
      <vt:lpstr>Fig.4.7.10</vt:lpstr>
      <vt:lpstr>Fig.4.8.1</vt:lpstr>
      <vt:lpstr>Fig.4.8.2-4.8.3</vt:lpstr>
      <vt:lpstr>Fig.4.8.4-4.8.9</vt:lpstr>
      <vt:lpstr>SSA Alt Coeff</vt:lpstr>
      <vt:lpstr>Fig.4.9.1-4.9.3</vt:lpstr>
      <vt:lpstr>Fig.4.9.4-4.9.5</vt:lpstr>
      <vt:lpstr>Fig.4.9.6-4.9.8</vt:lpstr>
      <vt:lpstr>F-W-L theorem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2026-04-14T09:24:37Z</dcterms:created>
  <dcterms:modified xsi:type="dcterms:W3CDTF">2026-05-01T12:29:48Z</dcterms:modified>
</cp:coreProperties>
</file>